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3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comments1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117"/>
  <workbookPr filterPrivacy="1" autoCompressPictures="0"/>
  <bookViews>
    <workbookView xWindow="0" yWindow="0" windowWidth="12040" windowHeight="5120" tabRatio="944" firstSheet="4" activeTab="4"/>
  </bookViews>
  <sheets>
    <sheet name="Impact of taxation" sheetId="4" state="hidden" r:id="rId1"/>
    <sheet name="Model  incomes statements " sheetId="16" state="hidden" r:id="rId2"/>
    <sheet name="Model cashflows" sheetId="17" state="hidden" r:id="rId3"/>
    <sheet name="10 km actual" sheetId="18" state="hidden" r:id="rId4"/>
    <sheet name="M3 S2 DATA&amp; SOLUTION" sheetId="51" r:id="rId5"/>
    <sheet name="M3 S3 CONTROL BUDGET" sheetId="47" r:id="rId6"/>
    <sheet name="M3 S3 VARIANCES" sheetId="48" r:id="rId7"/>
  </sheets>
  <definedNames>
    <definedName name="One__O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51" l="1"/>
  <c r="G31" i="51"/>
  <c r="G33" i="51"/>
  <c r="C34" i="51"/>
  <c r="D34" i="51"/>
  <c r="E34" i="51"/>
  <c r="F34" i="51"/>
  <c r="C35" i="51"/>
  <c r="D35" i="51"/>
  <c r="D36" i="51"/>
  <c r="D73" i="51"/>
  <c r="E36" i="51"/>
  <c r="E73" i="51"/>
  <c r="F36" i="51"/>
  <c r="C37" i="51"/>
  <c r="F37" i="51"/>
  <c r="F74" i="51"/>
  <c r="D38" i="51"/>
  <c r="D75" i="51"/>
  <c r="E38" i="51"/>
  <c r="E75" i="51"/>
  <c r="F38" i="51"/>
  <c r="F75" i="51"/>
  <c r="G65" i="51"/>
  <c r="G67" i="51"/>
  <c r="D68" i="51"/>
  <c r="G69" i="51"/>
  <c r="G70" i="51"/>
  <c r="F73" i="51"/>
  <c r="F35" i="51"/>
  <c r="F72" i="51"/>
  <c r="E35" i="51"/>
  <c r="E72" i="51"/>
  <c r="D72" i="51"/>
  <c r="G72" i="51"/>
  <c r="G75" i="51"/>
  <c r="G38" i="51"/>
  <c r="G73" i="51"/>
  <c r="G36" i="51"/>
  <c r="G34" i="51"/>
  <c r="D37" i="51"/>
  <c r="D39" i="51"/>
  <c r="D71" i="51"/>
  <c r="E37" i="51"/>
  <c r="E39" i="51"/>
  <c r="E30" i="51"/>
  <c r="E32" i="51"/>
  <c r="F39" i="51"/>
  <c r="F30" i="51"/>
  <c r="F32" i="51"/>
  <c r="F40" i="51"/>
  <c r="E71" i="51"/>
  <c r="F71" i="51"/>
  <c r="F76" i="51"/>
  <c r="E74" i="51"/>
  <c r="C14" i="48"/>
  <c r="C18" i="48"/>
  <c r="B14" i="48"/>
  <c r="B18" i="48"/>
  <c r="I6" i="48"/>
  <c r="K6" i="48"/>
  <c r="D7" i="48"/>
  <c r="D8" i="48"/>
  <c r="D9" i="48"/>
  <c r="D10" i="48"/>
  <c r="D11" i="48"/>
  <c r="D12" i="48"/>
  <c r="D13" i="48"/>
  <c r="D6" i="48"/>
  <c r="I14" i="48"/>
  <c r="K14" i="48"/>
  <c r="I13" i="48"/>
  <c r="K13" i="48"/>
  <c r="I12" i="48"/>
  <c r="K12" i="48"/>
  <c r="I7" i="48"/>
  <c r="K7" i="48"/>
  <c r="I8" i="48"/>
  <c r="K8" i="48"/>
  <c r="I9" i="48"/>
  <c r="K9" i="48"/>
  <c r="I10" i="48"/>
  <c r="K10" i="48"/>
  <c r="I11" i="48"/>
  <c r="K11" i="48"/>
  <c r="C16" i="47"/>
  <c r="D16" i="47"/>
  <c r="E16" i="47"/>
  <c r="G16" i="47"/>
  <c r="C17" i="47"/>
  <c r="D17" i="47"/>
  <c r="E17" i="47"/>
  <c r="G17" i="47"/>
  <c r="C18" i="47"/>
  <c r="E18" i="47"/>
  <c r="G18" i="47"/>
  <c r="C19" i="47"/>
  <c r="D19" i="47"/>
  <c r="E19" i="47"/>
  <c r="G19" i="47"/>
  <c r="E20" i="47"/>
  <c r="G20" i="47"/>
  <c r="G22" i="47"/>
  <c r="G23" i="47"/>
  <c r="E4" i="47"/>
  <c r="E5" i="47"/>
  <c r="E6" i="47"/>
  <c r="E7" i="47"/>
  <c r="E3" i="47"/>
  <c r="G35" i="51"/>
  <c r="F66" i="51"/>
  <c r="F68" i="51"/>
  <c r="F77" i="51"/>
  <c r="E40" i="51"/>
  <c r="D30" i="51"/>
  <c r="G39" i="51"/>
  <c r="G37" i="51"/>
  <c r="D74" i="51"/>
  <c r="G74" i="51"/>
  <c r="G71" i="51"/>
  <c r="E76" i="51"/>
  <c r="K16" i="48"/>
  <c r="D14" i="48"/>
  <c r="G24" i="47"/>
  <c r="E22" i="47"/>
  <c r="E9" i="47"/>
  <c r="E10" i="47"/>
  <c r="E23" i="47"/>
  <c r="D76" i="51"/>
  <c r="G76" i="51"/>
  <c r="G30" i="51"/>
  <c r="E66" i="51"/>
  <c r="D32" i="51"/>
  <c r="E11" i="47"/>
  <c r="E24" i="47"/>
  <c r="D77" i="51"/>
  <c r="D79" i="51"/>
  <c r="E68" i="51"/>
  <c r="G66" i="51"/>
  <c r="D40" i="51"/>
  <c r="G40" i="51"/>
  <c r="G32" i="51"/>
  <c r="H5" i="18"/>
  <c r="I5" i="18"/>
  <c r="M11" i="18"/>
  <c r="M10" i="18"/>
  <c r="M9" i="18"/>
  <c r="M8" i="18"/>
  <c r="M7" i="18"/>
  <c r="M6" i="18"/>
  <c r="M5" i="18"/>
  <c r="K4" i="18"/>
  <c r="L4" i="18"/>
  <c r="M4" i="18"/>
  <c r="H4" i="18"/>
  <c r="J3" i="18"/>
  <c r="K3" i="18"/>
  <c r="L3" i="18"/>
  <c r="M3" i="18"/>
  <c r="E3" i="18"/>
  <c r="H3" i="18"/>
  <c r="H13" i="18"/>
  <c r="I13" i="18"/>
  <c r="E10" i="18"/>
  <c r="C16" i="18"/>
  <c r="E11" i="18"/>
  <c r="H11" i="18"/>
  <c r="I11" i="18"/>
  <c r="E9" i="18"/>
  <c r="H9" i="18"/>
  <c r="I9" i="18"/>
  <c r="E8" i="18"/>
  <c r="H8" i="18"/>
  <c r="I8" i="18"/>
  <c r="H7" i="18"/>
  <c r="I7" i="18"/>
  <c r="E6" i="18"/>
  <c r="H6" i="18"/>
  <c r="G6" i="18"/>
  <c r="I6" i="18"/>
  <c r="I4" i="18"/>
  <c r="G3" i="18"/>
  <c r="G12" i="18"/>
  <c r="G14" i="18"/>
  <c r="D8" i="4"/>
  <c r="D7" i="4"/>
  <c r="B6" i="4"/>
  <c r="D6" i="4"/>
  <c r="D5" i="4"/>
  <c r="D4" i="4"/>
  <c r="D9" i="4"/>
  <c r="C54" i="16"/>
  <c r="E72" i="16"/>
  <c r="C16" i="16"/>
  <c r="J35" i="16"/>
  <c r="K35" i="16"/>
  <c r="L35" i="16"/>
  <c r="E18" i="16"/>
  <c r="C75" i="16"/>
  <c r="G64" i="16"/>
  <c r="C64" i="16"/>
  <c r="D64" i="16"/>
  <c r="E64" i="16"/>
  <c r="H64" i="16"/>
  <c r="C62" i="16"/>
  <c r="D62" i="16"/>
  <c r="C61" i="16"/>
  <c r="D61" i="16"/>
  <c r="E61" i="16"/>
  <c r="C60" i="16"/>
  <c r="D60" i="16"/>
  <c r="C58" i="16"/>
  <c r="D58" i="16"/>
  <c r="E58" i="16"/>
  <c r="C84" i="16"/>
  <c r="C57" i="16"/>
  <c r="D57" i="16"/>
  <c r="C82" i="16"/>
  <c r="C55" i="16"/>
  <c r="D54" i="16"/>
  <c r="E54" i="16"/>
  <c r="H53" i="16"/>
  <c r="I36" i="16"/>
  <c r="H36" i="16"/>
  <c r="N33" i="16"/>
  <c r="F16" i="16"/>
  <c r="G16" i="16"/>
  <c r="H16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F12" i="16"/>
  <c r="G12" i="16"/>
  <c r="E11" i="16"/>
  <c r="Q9" i="16"/>
  <c r="Q8" i="16"/>
  <c r="E7" i="16"/>
  <c r="F6" i="16"/>
  <c r="F7" i="16"/>
  <c r="Q5" i="16"/>
  <c r="Q4" i="16"/>
  <c r="E55" i="16"/>
  <c r="F54" i="16"/>
  <c r="D55" i="16"/>
  <c r="C74" i="16"/>
  <c r="C85" i="16"/>
  <c r="E57" i="16"/>
  <c r="J36" i="16"/>
  <c r="H37" i="16"/>
  <c r="G6" i="16"/>
  <c r="F11" i="16"/>
  <c r="G11" i="16"/>
  <c r="C65" i="16"/>
  <c r="I37" i="16"/>
  <c r="I40" i="16"/>
  <c r="F57" i="16"/>
  <c r="G54" i="16"/>
  <c r="F55" i="16"/>
  <c r="G7" i="16"/>
  <c r="H6" i="16"/>
  <c r="I6" i="16"/>
  <c r="K36" i="16"/>
  <c r="L36" i="16"/>
  <c r="D65" i="16"/>
  <c r="G55" i="16"/>
  <c r="H54" i="16"/>
  <c r="G57" i="16"/>
  <c r="H7" i="16"/>
  <c r="H57" i="16"/>
  <c r="H55" i="16"/>
  <c r="C59" i="17"/>
  <c r="H59" i="17"/>
  <c r="C60" i="17"/>
  <c r="P10" i="17"/>
  <c r="O10" i="17"/>
  <c r="N10" i="17"/>
  <c r="M10" i="17"/>
  <c r="L10" i="17"/>
  <c r="K10" i="17"/>
  <c r="J10" i="17"/>
  <c r="I10" i="17"/>
  <c r="H10" i="17"/>
  <c r="G10" i="17"/>
  <c r="E7" i="17"/>
  <c r="Q7" i="17"/>
  <c r="F6" i="17"/>
  <c r="C53" i="17"/>
  <c r="D53" i="17"/>
  <c r="I39" i="17"/>
  <c r="J39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G40" i="17"/>
  <c r="H40" i="17"/>
  <c r="I40" i="17"/>
  <c r="G41" i="17"/>
  <c r="H41" i="17"/>
  <c r="J40" i="17"/>
  <c r="D71" i="17"/>
  <c r="C70" i="17"/>
  <c r="C69" i="17"/>
  <c r="C56" i="17"/>
  <c r="C55" i="17"/>
  <c r="C76" i="17"/>
  <c r="H76" i="17"/>
  <c r="H74" i="17"/>
  <c r="H60" i="17"/>
  <c r="H56" i="17"/>
  <c r="H55" i="17"/>
  <c r="H52" i="17"/>
  <c r="E28" i="17"/>
  <c r="Q28" i="17"/>
  <c r="Q23" i="17"/>
  <c r="Q22" i="17"/>
  <c r="F21" i="17"/>
  <c r="E19" i="17"/>
  <c r="F19" i="17"/>
  <c r="G19" i="17"/>
  <c r="E16" i="17"/>
  <c r="F16" i="17"/>
  <c r="G16" i="17"/>
  <c r="Q13" i="17"/>
  <c r="Q12" i="17"/>
  <c r="F10" i="17"/>
  <c r="Q9" i="17"/>
  <c r="Q8" i="17"/>
  <c r="Q5" i="17"/>
  <c r="Q4" i="17"/>
  <c r="D69" i="17"/>
  <c r="E69" i="17"/>
  <c r="F69" i="17"/>
  <c r="D70" i="17"/>
  <c r="E70" i="17"/>
  <c r="F70" i="17"/>
  <c r="G70" i="17"/>
  <c r="E10" i="17"/>
  <c r="G21" i="17"/>
  <c r="H21" i="17"/>
  <c r="I21" i="17"/>
  <c r="J21" i="17"/>
  <c r="K21" i="17"/>
  <c r="L21" i="17"/>
  <c r="M21" i="17"/>
  <c r="N21" i="17"/>
  <c r="O21" i="17"/>
  <c r="P21" i="17"/>
  <c r="H44" i="17"/>
  <c r="K40" i="17"/>
  <c r="E14" i="17"/>
  <c r="C61" i="17"/>
  <c r="E10" i="16"/>
  <c r="F10" i="16"/>
  <c r="G10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E17" i="16"/>
  <c r="G68" i="51"/>
  <c r="E77" i="51"/>
  <c r="E78" i="51"/>
  <c r="Q14" i="17"/>
  <c r="H6" i="17"/>
  <c r="J6" i="17"/>
  <c r="L6" i="17"/>
  <c r="N6" i="17"/>
  <c r="P6" i="17"/>
  <c r="H10" i="16"/>
  <c r="H61" i="17"/>
  <c r="H19" i="17"/>
  <c r="I19" i="17"/>
  <c r="J19" i="17"/>
  <c r="K19" i="17"/>
  <c r="L19" i="17"/>
  <c r="M19" i="17"/>
  <c r="N19" i="17"/>
  <c r="O19" i="17"/>
  <c r="P19" i="17"/>
  <c r="I41" i="17"/>
  <c r="G42" i="17"/>
  <c r="C71" i="17"/>
  <c r="K39" i="17"/>
  <c r="L39" i="17"/>
  <c r="E24" i="17"/>
  <c r="Q10" i="17"/>
  <c r="C54" i="17"/>
  <c r="H16" i="17"/>
  <c r="I16" i="17"/>
  <c r="J16" i="17"/>
  <c r="K16" i="17"/>
  <c r="L16" i="17"/>
  <c r="M16" i="17"/>
  <c r="N16" i="17"/>
  <c r="O16" i="17"/>
  <c r="P16" i="17"/>
  <c r="G69" i="17"/>
  <c r="H69" i="17"/>
  <c r="D54" i="17"/>
  <c r="D57" i="17"/>
  <c r="E53" i="17"/>
  <c r="F17" i="16"/>
  <c r="G17" i="16"/>
  <c r="H17" i="16"/>
  <c r="I17" i="16"/>
  <c r="J17" i="16"/>
  <c r="K17" i="16"/>
  <c r="L17" i="16"/>
  <c r="M17" i="16"/>
  <c r="N17" i="16"/>
  <c r="O17" i="16"/>
  <c r="P17" i="16"/>
  <c r="I7" i="16"/>
  <c r="J6" i="16"/>
  <c r="H12" i="16"/>
  <c r="I12" i="16"/>
  <c r="J12" i="16"/>
  <c r="K12" i="16"/>
  <c r="L12" i="16"/>
  <c r="M12" i="16"/>
  <c r="N12" i="16"/>
  <c r="O12" i="16"/>
  <c r="P12" i="16"/>
  <c r="I16" i="16"/>
  <c r="J16" i="16"/>
  <c r="K16" i="16"/>
  <c r="L16" i="16"/>
  <c r="M16" i="16"/>
  <c r="N16" i="16"/>
  <c r="O16" i="16"/>
  <c r="P16" i="16"/>
  <c r="F61" i="16"/>
  <c r="G61" i="16"/>
  <c r="E62" i="16"/>
  <c r="F62" i="16"/>
  <c r="G62" i="16"/>
  <c r="F15" i="17"/>
  <c r="E20" i="17"/>
  <c r="E25" i="17"/>
  <c r="E27" i="17"/>
  <c r="E29" i="17"/>
  <c r="F28" i="17"/>
  <c r="Q21" i="17"/>
  <c r="C68" i="17"/>
  <c r="H70" i="17"/>
  <c r="Q17" i="17"/>
  <c r="C64" i="17"/>
  <c r="Q15" i="16"/>
  <c r="E19" i="16"/>
  <c r="H11" i="16"/>
  <c r="I11" i="16"/>
  <c r="J11" i="16"/>
  <c r="K11" i="16"/>
  <c r="L11" i="16"/>
  <c r="M11" i="16"/>
  <c r="N11" i="16"/>
  <c r="O11" i="16"/>
  <c r="P11" i="16"/>
  <c r="F58" i="16"/>
  <c r="E60" i="16"/>
  <c r="F60" i="16"/>
  <c r="G60" i="16"/>
  <c r="H60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D10" i="4"/>
  <c r="D11" i="4"/>
  <c r="D15" i="4"/>
  <c r="F18" i="17"/>
  <c r="Q13" i="16"/>
  <c r="J37" i="16"/>
  <c r="Q14" i="16"/>
  <c r="I3" i="18"/>
  <c r="E12" i="18"/>
  <c r="H10" i="18"/>
  <c r="I10" i="18"/>
  <c r="E79" i="51"/>
  <c r="G77" i="51"/>
  <c r="Q16" i="17"/>
  <c r="C63" i="17"/>
  <c r="D63" i="17"/>
  <c r="Q17" i="16"/>
  <c r="Q19" i="17"/>
  <c r="C66" i="17"/>
  <c r="H66" i="17"/>
  <c r="G18" i="17"/>
  <c r="H18" i="17"/>
  <c r="I18" i="17"/>
  <c r="J18" i="17"/>
  <c r="K18" i="17"/>
  <c r="L18" i="17"/>
  <c r="M18" i="17"/>
  <c r="N18" i="17"/>
  <c r="O18" i="17"/>
  <c r="P18" i="17"/>
  <c r="D16" i="4"/>
  <c r="D17" i="4"/>
  <c r="D64" i="17"/>
  <c r="E64" i="17"/>
  <c r="F64" i="17"/>
  <c r="G64" i="17"/>
  <c r="D68" i="17"/>
  <c r="E68" i="17"/>
  <c r="F68" i="17"/>
  <c r="G68" i="17"/>
  <c r="H68" i="17"/>
  <c r="K6" i="16"/>
  <c r="J7" i="16"/>
  <c r="C57" i="17"/>
  <c r="I42" i="17"/>
  <c r="G43" i="17"/>
  <c r="H19" i="16"/>
  <c r="H21" i="16"/>
  <c r="I10" i="16"/>
  <c r="J12" i="18"/>
  <c r="Q11" i="16"/>
  <c r="H62" i="16"/>
  <c r="H61" i="16"/>
  <c r="Q16" i="16"/>
  <c r="C63" i="16"/>
  <c r="Q12" i="16"/>
  <c r="C59" i="16"/>
  <c r="E13" i="18"/>
  <c r="E14" i="18"/>
  <c r="H38" i="16"/>
  <c r="K37" i="16"/>
  <c r="G58" i="16"/>
  <c r="E21" i="16"/>
  <c r="F20" i="17"/>
  <c r="G20" i="17"/>
  <c r="H20" i="17"/>
  <c r="I20" i="17"/>
  <c r="J20" i="17"/>
  <c r="K20" i="17"/>
  <c r="L20" i="17"/>
  <c r="M20" i="17"/>
  <c r="N20" i="17"/>
  <c r="O20" i="17"/>
  <c r="P20" i="17"/>
  <c r="G15" i="17"/>
  <c r="F53" i="17"/>
  <c r="E54" i="17"/>
  <c r="E57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H12" i="18"/>
  <c r="F19" i="16"/>
  <c r="F21" i="16"/>
  <c r="J41" i="17"/>
  <c r="G19" i="16"/>
  <c r="G21" i="16"/>
  <c r="F78" i="51"/>
  <c r="D66" i="17"/>
  <c r="E66" i="17"/>
  <c r="F66" i="17"/>
  <c r="G66" i="17"/>
  <c r="E63" i="17"/>
  <c r="F63" i="17"/>
  <c r="G63" i="17"/>
  <c r="Q20" i="17"/>
  <c r="C67" i="17"/>
  <c r="D67" i="17"/>
  <c r="E67" i="17"/>
  <c r="F67" i="17"/>
  <c r="G67" i="17"/>
  <c r="G22" i="16"/>
  <c r="G23" i="16"/>
  <c r="G25" i="17"/>
  <c r="G27" i="17"/>
  <c r="H15" i="17"/>
  <c r="H58" i="16"/>
  <c r="J38" i="16"/>
  <c r="H39" i="16"/>
  <c r="D63" i="16"/>
  <c r="E63" i="16"/>
  <c r="F63" i="16"/>
  <c r="G63" i="16"/>
  <c r="H63" i="16"/>
  <c r="C78" i="16"/>
  <c r="H22" i="16"/>
  <c r="H23" i="16"/>
  <c r="L6" i="16"/>
  <c r="K7" i="16"/>
  <c r="J42" i="17"/>
  <c r="I43" i="17"/>
  <c r="J43" i="17"/>
  <c r="J44" i="17"/>
  <c r="H64" i="17"/>
  <c r="Q18" i="17"/>
  <c r="C65" i="17"/>
  <c r="K41" i="17"/>
  <c r="E71" i="17"/>
  <c r="F22" i="16"/>
  <c r="F23" i="16"/>
  <c r="H14" i="18"/>
  <c r="I14" i="18"/>
  <c r="I12" i="18"/>
  <c r="J14" i="18"/>
  <c r="F54" i="17"/>
  <c r="F57" i="17"/>
  <c r="G53" i="17"/>
  <c r="G54" i="17"/>
  <c r="G57" i="17"/>
  <c r="E22" i="16"/>
  <c r="E23" i="16"/>
  <c r="L37" i="16"/>
  <c r="E65" i="16"/>
  <c r="C66" i="16"/>
  <c r="D59" i="16"/>
  <c r="C77" i="16"/>
  <c r="C80" i="16"/>
  <c r="C83" i="16"/>
  <c r="I19" i="16"/>
  <c r="I21" i="16"/>
  <c r="J10" i="16"/>
  <c r="D19" i="4"/>
  <c r="D18" i="4"/>
  <c r="F25" i="17"/>
  <c r="F27" i="17"/>
  <c r="F29" i="17"/>
  <c r="G28" i="17"/>
  <c r="H54" i="17"/>
  <c r="I57" i="17"/>
  <c r="F79" i="51"/>
  <c r="G79" i="51"/>
  <c r="G78" i="51"/>
  <c r="H63" i="17"/>
  <c r="J46" i="17"/>
  <c r="K44" i="17"/>
  <c r="I22" i="16"/>
  <c r="I23" i="16"/>
  <c r="E59" i="16"/>
  <c r="D66" i="16"/>
  <c r="D67" i="16"/>
  <c r="D65" i="17"/>
  <c r="E65" i="17"/>
  <c r="F65" i="17"/>
  <c r="G65" i="17"/>
  <c r="M6" i="16"/>
  <c r="L7" i="16"/>
  <c r="K38" i="16"/>
  <c r="H67" i="17"/>
  <c r="G29" i="17"/>
  <c r="H28" i="17"/>
  <c r="K43" i="17"/>
  <c r="G71" i="17"/>
  <c r="J19" i="16"/>
  <c r="J21" i="16"/>
  <c r="K10" i="16"/>
  <c r="C67" i="16"/>
  <c r="C76" i="16"/>
  <c r="C79" i="16"/>
  <c r="K42" i="17"/>
  <c r="F71" i="17"/>
  <c r="J39" i="16"/>
  <c r="K39" i="16"/>
  <c r="H25" i="17"/>
  <c r="H27" i="17"/>
  <c r="I15" i="17"/>
  <c r="H71" i="17"/>
  <c r="H57" i="17"/>
  <c r="H29" i="17"/>
  <c r="I28" i="17"/>
  <c r="H65" i="17"/>
  <c r="I25" i="17"/>
  <c r="I27" i="17"/>
  <c r="J15" i="17"/>
  <c r="C68" i="16"/>
  <c r="D72" i="17"/>
  <c r="C69" i="16"/>
  <c r="C73" i="16"/>
  <c r="J22" i="16"/>
  <c r="J23" i="16"/>
  <c r="L38" i="16"/>
  <c r="F65" i="16"/>
  <c r="H65" i="16"/>
  <c r="K40" i="16"/>
  <c r="L40" i="16"/>
  <c r="D68" i="16"/>
  <c r="E72" i="17"/>
  <c r="G65" i="16"/>
  <c r="L39" i="16"/>
  <c r="K19" i="16"/>
  <c r="L10" i="16"/>
  <c r="M7" i="16"/>
  <c r="N6" i="16"/>
  <c r="F59" i="16"/>
  <c r="E66" i="16"/>
  <c r="E67" i="16"/>
  <c r="I29" i="17"/>
  <c r="J28" i="17"/>
  <c r="G59" i="16"/>
  <c r="F66" i="16"/>
  <c r="F67" i="16"/>
  <c r="N7" i="16"/>
  <c r="O6" i="16"/>
  <c r="K21" i="16"/>
  <c r="J25" i="17"/>
  <c r="J27" i="17"/>
  <c r="K15" i="17"/>
  <c r="E68" i="16"/>
  <c r="F72" i="17"/>
  <c r="E69" i="16"/>
  <c r="L19" i="16"/>
  <c r="L21" i="16"/>
  <c r="M10" i="16"/>
  <c r="D69" i="16"/>
  <c r="J29" i="17"/>
  <c r="K28" i="17"/>
  <c r="N10" i="16"/>
  <c r="M19" i="16"/>
  <c r="M21" i="16"/>
  <c r="K22" i="16"/>
  <c r="K23" i="16"/>
  <c r="G66" i="16"/>
  <c r="G67" i="16"/>
  <c r="H59" i="16"/>
  <c r="H66" i="16"/>
  <c r="H67" i="16"/>
  <c r="L22" i="16"/>
  <c r="L23" i="16"/>
  <c r="K25" i="17"/>
  <c r="K27" i="17"/>
  <c r="L15" i="17"/>
  <c r="O7" i="16"/>
  <c r="P6" i="16"/>
  <c r="F68" i="16"/>
  <c r="G72" i="17"/>
  <c r="H72" i="17"/>
  <c r="K29" i="17"/>
  <c r="L28" i="17"/>
  <c r="H68" i="16"/>
  <c r="H69" i="16"/>
  <c r="O10" i="16"/>
  <c r="N19" i="16"/>
  <c r="N21" i="16"/>
  <c r="P7" i="16"/>
  <c r="Q6" i="16"/>
  <c r="L25" i="17"/>
  <c r="L27" i="17"/>
  <c r="M15" i="17"/>
  <c r="G68" i="16"/>
  <c r="G69" i="16"/>
  <c r="M22" i="16"/>
  <c r="M23" i="16"/>
  <c r="F69" i="16"/>
  <c r="L29" i="17"/>
  <c r="M28" i="17"/>
  <c r="Q7" i="16"/>
  <c r="P10" i="16"/>
  <c r="O19" i="16"/>
  <c r="O21" i="16"/>
  <c r="M25" i="17"/>
  <c r="M27" i="17"/>
  <c r="N15" i="17"/>
  <c r="N22" i="16"/>
  <c r="N23" i="16"/>
  <c r="M29" i="17"/>
  <c r="N28" i="17"/>
  <c r="N25" i="17"/>
  <c r="N27" i="17"/>
  <c r="O15" i="17"/>
  <c r="O22" i="16"/>
  <c r="O23" i="16"/>
  <c r="P19" i="16"/>
  <c r="Q10" i="16"/>
  <c r="N29" i="17"/>
  <c r="O28" i="17"/>
  <c r="Q19" i="16"/>
  <c r="P21" i="16"/>
  <c r="P15" i="17"/>
  <c r="O25" i="17"/>
  <c r="O27" i="17"/>
  <c r="O29" i="17"/>
  <c r="P28" i="17"/>
  <c r="P25" i="17"/>
  <c r="P27" i="17"/>
  <c r="Q15" i="17"/>
  <c r="P22" i="16"/>
  <c r="P23" i="16"/>
  <c r="Q21" i="16"/>
  <c r="P29" i="17"/>
  <c r="C62" i="17"/>
  <c r="Q25" i="17"/>
  <c r="Q27" i="17"/>
  <c r="Q29" i="17"/>
  <c r="Q22" i="16"/>
  <c r="Q23" i="16"/>
  <c r="C25" i="16"/>
  <c r="D62" i="17"/>
  <c r="C73" i="17"/>
  <c r="C75" i="17"/>
  <c r="E62" i="17"/>
  <c r="D73" i="17"/>
  <c r="D75" i="17"/>
  <c r="F62" i="17"/>
  <c r="E73" i="17"/>
  <c r="C77" i="17"/>
  <c r="D76" i="17"/>
  <c r="D77" i="17"/>
  <c r="E76" i="17"/>
  <c r="F73" i="17"/>
  <c r="F75" i="17"/>
  <c r="G62" i="17"/>
  <c r="E75" i="17"/>
  <c r="E77" i="17"/>
  <c r="F76" i="17"/>
  <c r="F77" i="17"/>
  <c r="G76" i="17"/>
  <c r="G73" i="17"/>
  <c r="H62" i="17"/>
  <c r="I73" i="17"/>
  <c r="I75" i="17"/>
  <c r="I77" i="17"/>
  <c r="G75" i="17"/>
  <c r="H73" i="17"/>
  <c r="G77" i="17"/>
  <c r="H75" i="17"/>
  <c r="H77" i="17"/>
</calcChain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change to 488,025 when price limit is removed.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 amount will change to 30,000 on the assumption that all equipment is hired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Changes from 12m to 15m per month when all equipment is hired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only buildings of 170m will be depreciated over 20 years. 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Depreciation would change to only shs 708,333 if the other equipment were hired instead.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Interest for old loan only, to change when new structure is introduced and computed below</t>
        </r>
      </text>
    </comment>
    <comment ref="D2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Yellow colour means the content of those cells could be changed with assumptions</t>
        </r>
      </text>
    </comment>
    <comment ref="L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Figures Figures for the existing loan only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change to shs 360,000 when all equipment is hired</t>
        </r>
      </text>
    </comment>
    <comment ref="C6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change to only shs. 8,500 when all equipment is hired</t>
        </r>
      </text>
    </comment>
    <comment ref="C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Figures to change as computed above with new gearing structure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Changes to 488,025 when price limit is removed.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shifts to next month when credit period increases to 2 months.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changes to 7,200,000 when credit is increased to 2 months.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These will be filled in with the equity and debt figures suggested to fund the business. 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 figures will change when the suggestion to leave out land purchase is adopted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 figure will become shs 170m when the suggestion to hire equipment is adopted.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 figure will change to shs. 30,000 when all equipment is to be hired instead.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Figure to reduce to 0 when dividends are droped in the first year.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Repayment figure  Applies only to the existing loan of shs 7500m.  </t>
        </r>
      </text>
    </comment>
    <comment ref="K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Figures Figures for the existing loan only</t>
        </r>
      </text>
    </comment>
    <comment ref="I7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 how the cashflow figures differ with pprofit figures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E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Since price is limited to shs 450m, the margin of 20% or 30% cannot be attained.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F2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supervision will be for 3month for 5km work since 1.5kms are done per month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G13" authorId="0">
      <text>
        <r>
          <rPr>
            <b/>
            <sz val="9"/>
            <color indexed="81"/>
            <rFont val="Tahoma"/>
            <family val="2"/>
          </rPr>
          <t>0onyu:
amount of fuel that shd hv bn used based on buget 100ltrs per hr-1500hrs of machine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<sst xmlns="http://schemas.openxmlformats.org/spreadsheetml/2006/main" count="437" uniqueCount="259">
  <si>
    <t>shs'000</t>
  </si>
  <si>
    <t>Share capital</t>
  </si>
  <si>
    <t>Direct labour</t>
  </si>
  <si>
    <t>Materials</t>
  </si>
  <si>
    <t>Particulars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</si>
  <si>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</si>
  <si>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</si>
  <si>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</si>
  <si>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</si>
  <si>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</si>
  <si>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</si>
  <si>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</si>
  <si>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</si>
  <si>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</si>
  <si>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</si>
  <si>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</si>
  <si>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</si>
  <si>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Kilometres done</t>
  </si>
  <si>
    <t>Kilometres billed</t>
  </si>
  <si>
    <t>Machine depreciation</t>
  </si>
  <si>
    <t>Item</t>
  </si>
  <si>
    <t>cost per unit</t>
  </si>
  <si>
    <t>Quantity</t>
  </si>
  <si>
    <t>Cost</t>
  </si>
  <si>
    <t>Materials: murram in tonnes</t>
  </si>
  <si>
    <t>Machine hire in hours</t>
  </si>
  <si>
    <t>Fuel for machines in lts</t>
  </si>
  <si>
    <t>Direct labour (man days)</t>
  </si>
  <si>
    <t>Supervision (man months)</t>
  </si>
  <si>
    <t>Total cost</t>
  </si>
  <si>
    <t>Margin 30%</t>
  </si>
  <si>
    <t>Bid price</t>
  </si>
  <si>
    <t>Net profit</t>
  </si>
  <si>
    <t>Price</t>
  </si>
  <si>
    <t>Impact of Taxation</t>
  </si>
  <si>
    <t>Expected Corporate Taxation 30%</t>
  </si>
  <si>
    <t>%ge of original</t>
  </si>
  <si>
    <t>Budget</t>
  </si>
  <si>
    <t>Actual</t>
  </si>
  <si>
    <t>Fuel</t>
  </si>
  <si>
    <t>Labour</t>
  </si>
  <si>
    <t>Total</t>
  </si>
  <si>
    <t>Revenue</t>
  </si>
  <si>
    <t>Overheads</t>
  </si>
  <si>
    <t>Profit after Taxation</t>
  </si>
  <si>
    <t>profit after tax/Equity</t>
  </si>
  <si>
    <t>Return on Investment (assume equity 3.6b)</t>
  </si>
  <si>
    <t>Revenue receipt</t>
  </si>
  <si>
    <t xml:space="preserve">Munaku income and expenditure Projections  </t>
  </si>
  <si>
    <t>Taxation</t>
  </si>
  <si>
    <t>means could change</t>
  </si>
  <si>
    <t>Loan amount</t>
  </si>
  <si>
    <t>Simple interest calculation</t>
  </si>
  <si>
    <t>y1</t>
  </si>
  <si>
    <t>y2</t>
  </si>
  <si>
    <t>y3</t>
  </si>
  <si>
    <t>y4</t>
  </si>
  <si>
    <t>y5</t>
  </si>
  <si>
    <t>Start</t>
  </si>
  <si>
    <t>Repayed</t>
  </si>
  <si>
    <t>End</t>
  </si>
  <si>
    <t>Interest/month</t>
  </si>
  <si>
    <t>Interest/year per y</t>
  </si>
  <si>
    <t>Gross revenue</t>
  </si>
  <si>
    <t>Revenue per kms</t>
  </si>
  <si>
    <t>Cost per kms</t>
  </si>
  <si>
    <t>Overhead costs per kms</t>
  </si>
  <si>
    <t>Direct cost per kms</t>
  </si>
  <si>
    <t>Profit margin per kms(total cost)%</t>
  </si>
  <si>
    <t>Gross margin per kms(direct cost)%</t>
  </si>
  <si>
    <t>Output in kms</t>
  </si>
  <si>
    <t>Material cost per kms</t>
  </si>
  <si>
    <t>Machine cost per kms</t>
  </si>
  <si>
    <t>Labour cost per kms</t>
  </si>
  <si>
    <t>Labour productivity (revenue per labour cost)</t>
  </si>
  <si>
    <t>District levy tax 2%</t>
  </si>
  <si>
    <t>Actual profitability margin</t>
  </si>
  <si>
    <t>Year</t>
  </si>
  <si>
    <t>Material</t>
  </si>
  <si>
    <t>Startup capital</t>
  </si>
  <si>
    <t>Machine hire</t>
  </si>
  <si>
    <t>one</t>
  </si>
  <si>
    <t>Two</t>
  </si>
  <si>
    <t>Three</t>
  </si>
  <si>
    <t>Four</t>
  </si>
  <si>
    <t>Five</t>
  </si>
  <si>
    <t>Road work done in Kms</t>
  </si>
  <si>
    <t>Price offered</t>
  </si>
  <si>
    <t xml:space="preserve">Munaku </t>
  </si>
  <si>
    <t>Management salaries</t>
  </si>
  <si>
    <t>354,1667 per kms</t>
  </si>
  <si>
    <t>354,167per kms</t>
  </si>
  <si>
    <t>Actual 10 kms</t>
  </si>
  <si>
    <t>90,000kms @ 22,000</t>
  </si>
  <si>
    <t>620m</t>
  </si>
  <si>
    <t>130m</t>
  </si>
  <si>
    <t>100,000lts @3,200</t>
  </si>
  <si>
    <t>920m</t>
  </si>
  <si>
    <t>150m</t>
  </si>
  <si>
    <t>4600m</t>
  </si>
  <si>
    <t>Profits</t>
  </si>
  <si>
    <t>Budgeted</t>
  </si>
  <si>
    <t>6.25m</t>
  </si>
  <si>
    <t xml:space="preserve">Usage </t>
  </si>
  <si>
    <t>17.5m</t>
  </si>
  <si>
    <t>4.25m</t>
  </si>
  <si>
    <t>Volume</t>
  </si>
  <si>
    <t>Building depreciation</t>
  </si>
  <si>
    <t>Start up cost amortisation</t>
  </si>
  <si>
    <t>Description</t>
  </si>
  <si>
    <t>Element</t>
  </si>
  <si>
    <t>9000ltsx3500</t>
  </si>
  <si>
    <t>60m/kms</t>
  </si>
  <si>
    <t>12m/kms</t>
  </si>
  <si>
    <t>15m/month</t>
  </si>
  <si>
    <t>350m/7years/24</t>
  </si>
  <si>
    <t>Total cost per kms</t>
  </si>
  <si>
    <t>8000tonnesx20000 plus vat at 20%</t>
  </si>
  <si>
    <t>100m/kms</t>
  </si>
  <si>
    <t>Price per km</t>
  </si>
  <si>
    <t>Munaku project 12 months income statement (shs'000)</t>
  </si>
  <si>
    <t>Costs</t>
  </si>
  <si>
    <t>Depreciation</t>
  </si>
  <si>
    <t>Amortisation</t>
  </si>
  <si>
    <t>2,437,500 per kms</t>
  </si>
  <si>
    <t>1,250,000 per kms for 3 years</t>
  </si>
  <si>
    <t>8,000 tonnesx20000 plus vat at 20%</t>
  </si>
  <si>
    <t>Cost item</t>
  </si>
  <si>
    <t>Narrative</t>
  </si>
  <si>
    <t>170m/20 years/24</t>
  </si>
  <si>
    <t>15mx6 months/3years/24</t>
  </si>
  <si>
    <t>Interest</t>
  </si>
  <si>
    <t>Munaku project 12 months cash flow statement (shs'000)</t>
  </si>
  <si>
    <t>Revenue receipts</t>
  </si>
  <si>
    <t>Loan Capital</t>
  </si>
  <si>
    <t>Total receipts</t>
  </si>
  <si>
    <t>Payments</t>
  </si>
  <si>
    <t>Total payments</t>
  </si>
  <si>
    <t xml:space="preserve">Net cash </t>
  </si>
  <si>
    <t>Opening balance</t>
  </si>
  <si>
    <t>Closing balance</t>
  </si>
  <si>
    <t>Margin 20%</t>
  </si>
  <si>
    <t>Acceptable market price</t>
  </si>
  <si>
    <t>1,250,000 per kms (for 3 years)</t>
  </si>
  <si>
    <t>Additional land 5 acres</t>
  </si>
  <si>
    <t>Building and equipment</t>
  </si>
  <si>
    <t>Owners dividends/drawings</t>
  </si>
  <si>
    <t>10m/month</t>
  </si>
  <si>
    <t>Provision for taxation 30%</t>
  </si>
  <si>
    <t>Some performance indicators</t>
  </si>
  <si>
    <t>Shs'000</t>
  </si>
  <si>
    <t xml:space="preserve">Return on Investment (Equity)% </t>
  </si>
  <si>
    <t>Repayment over 48 months- monthly instalment</t>
  </si>
  <si>
    <t>Loan repayment and interest</t>
  </si>
  <si>
    <t>Installment/month</t>
  </si>
  <si>
    <t>Loan repayment(including interest)</t>
  </si>
  <si>
    <t xml:space="preserve"> statements</t>
  </si>
  <si>
    <t>What if?</t>
  </si>
  <si>
    <t>Ideal (ZBB) bid</t>
  </si>
  <si>
    <t>12+3=15/kms</t>
  </si>
  <si>
    <t>15m/kms</t>
  </si>
  <si>
    <t>354,167 per kms</t>
  </si>
  <si>
    <t>ITEM</t>
  </si>
  <si>
    <t>QUANTITY</t>
  </si>
  <si>
    <t>UNIT COST</t>
  </si>
  <si>
    <t>AMOUNT</t>
  </si>
  <si>
    <t>Direct Labour</t>
  </si>
  <si>
    <t>machine Fuel</t>
  </si>
  <si>
    <t>Total Cost</t>
  </si>
  <si>
    <t>BID PRICE</t>
  </si>
  <si>
    <t xml:space="preserve">Margin </t>
  </si>
  <si>
    <t>SIMPLE CONTROL BUDGET FOR 1KM OF GRAVEL ROAD</t>
  </si>
  <si>
    <t>5KM</t>
  </si>
  <si>
    <t>UNIT COST/KM</t>
  </si>
  <si>
    <t>5000tones/2</t>
  </si>
  <si>
    <t>900hours/2</t>
  </si>
  <si>
    <t>400hours/2</t>
  </si>
  <si>
    <t>400*100/2</t>
  </si>
  <si>
    <t>1 month</t>
  </si>
  <si>
    <t>BUDGET FOR 5KM ROAD DONE IN 3MONTHS</t>
  </si>
  <si>
    <t>Net Cash change</t>
  </si>
  <si>
    <t>Total Payments</t>
  </si>
  <si>
    <t>2 persons @ 500,000 per month</t>
  </si>
  <si>
    <t>Supervisors salary</t>
  </si>
  <si>
    <t>900 man days @ 10000</t>
  </si>
  <si>
    <t>100 litres/hr @ 3,000</t>
  </si>
  <si>
    <t>400 Hrs @ 200,000</t>
  </si>
  <si>
    <t>5000 tonnes @ 20,000</t>
  </si>
  <si>
    <t>Total Receipts</t>
  </si>
  <si>
    <t>From other sources</t>
  </si>
  <si>
    <t>Receipts:</t>
  </si>
  <si>
    <t>Ugx 000</t>
  </si>
  <si>
    <t>NUMBER OF KM</t>
  </si>
  <si>
    <t>MAR</t>
  </si>
  <si>
    <t>FEB</t>
  </si>
  <si>
    <t>JAN</t>
  </si>
  <si>
    <t>PARTICULARS</t>
  </si>
  <si>
    <t>MUNAKU THREE MONTHS CASH BUDGET FOR 6 KM OF ROAD</t>
  </si>
  <si>
    <t>Surplus/(deficit)</t>
  </si>
  <si>
    <t>Total Expenditure</t>
  </si>
  <si>
    <t>Projected Expenditure</t>
  </si>
  <si>
    <t>Total Income</t>
  </si>
  <si>
    <t>Other incomes</t>
  </si>
  <si>
    <t>Revenue from contract</t>
  </si>
  <si>
    <t>900 man days/2</t>
  </si>
  <si>
    <t xml:space="preserve">Materials: Gravel </t>
  </si>
  <si>
    <t>Machine Hire</t>
  </si>
  <si>
    <t>Machine Fuel</t>
  </si>
  <si>
    <t>Supervision</t>
  </si>
  <si>
    <t>Variance</t>
  </si>
  <si>
    <t>Labour Rate</t>
  </si>
  <si>
    <t>Machine Rate</t>
  </si>
  <si>
    <t>Machine Efficiency</t>
  </si>
  <si>
    <t>Fuel Price</t>
  </si>
  <si>
    <t>BUDGET FOR 3MONTH</t>
  </si>
  <si>
    <t>VARIANCE</t>
  </si>
  <si>
    <t>ACTUAL FOR 3MONTH</t>
  </si>
  <si>
    <t>Material Usuage-Tones</t>
  </si>
  <si>
    <t>Labour Efficiency in Hours</t>
  </si>
  <si>
    <t>ANALYSIS</t>
  </si>
  <si>
    <t>COMMENTS</t>
  </si>
  <si>
    <t>Adverse</t>
  </si>
  <si>
    <t>PERSON RESPONSIBLE</t>
  </si>
  <si>
    <t>Purchaser</t>
  </si>
  <si>
    <t>Supervisor</t>
  </si>
  <si>
    <t>Machine Operator, Purchaser</t>
  </si>
  <si>
    <t>Material cost/price</t>
  </si>
  <si>
    <t>Posible Causes</t>
  </si>
  <si>
    <t>wrong price estimates, use of different quality of materials,inflation,rush purchase,change in quantity of materials</t>
  </si>
  <si>
    <t>Use of different Grade of Labour, change in basic wage rate, unplanned overtime.</t>
  </si>
  <si>
    <t>Change in fuel prices, Change in quantity of fuel used</t>
  </si>
  <si>
    <t>TOTAL COST VARIANCES</t>
  </si>
  <si>
    <t xml:space="preserve">Labour </t>
  </si>
  <si>
    <t xml:space="preserve">Machine </t>
  </si>
  <si>
    <t xml:space="preserve">Fuel </t>
  </si>
  <si>
    <t>Material cost</t>
  </si>
  <si>
    <t>Fuel usuage</t>
  </si>
  <si>
    <t>Administration(supervision)</t>
  </si>
  <si>
    <t xml:space="preserve">Fuel Effieciency(based on machine hours) </t>
  </si>
  <si>
    <t>TOTAL COST</t>
  </si>
  <si>
    <t>Material Price</t>
  </si>
  <si>
    <t>REVENUE</t>
  </si>
  <si>
    <t>PROFIT</t>
  </si>
  <si>
    <t>ACTUAL DATA FOR 6KM</t>
  </si>
  <si>
    <t>Materials: 14,000 tones @ 22,000</t>
  </si>
  <si>
    <t>Machine hours: 1500hrs @ 180,000/=</t>
  </si>
  <si>
    <t>Fuel: 140,000 litres used @ 2,800/=</t>
  </si>
  <si>
    <t>Labour:3,000mandays @9,000</t>
  </si>
  <si>
    <t>BUDGET DATA FOR 6KM OF ROAD</t>
  </si>
  <si>
    <t>Materials:15,000 tonnes @ 20,000</t>
  </si>
  <si>
    <t>Machine hire: 1,200hrs @ 200,000</t>
  </si>
  <si>
    <t>fuel  120,000 litres @3,000</t>
  </si>
  <si>
    <t>labour:2,700mandays@10,000</t>
  </si>
  <si>
    <t>Supervisor salary:3,000,000</t>
  </si>
  <si>
    <t>Work will be billed on completion of every two kilometres and payments done in 30days</t>
  </si>
  <si>
    <t>MUNAKU THREE MONTHS REVENUE BUDGET FOR 6 KM OF ROAD</t>
  </si>
  <si>
    <t>KM</t>
  </si>
  <si>
    <t>From contract (30 days credit)</t>
  </si>
  <si>
    <t>GROUP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</si>
</sst>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-* #,##0_-;\-* #,##0_-;_-* &quot;-&quot;??_-;_-@_-"/>
    <numFmt numFmtId="168" formatCode="_-* #,##0.0_-;\-* #,##0.0_-;_-* &quot;-&quot;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Verdana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92D05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165" fontId="0" fillId="0" borderId="0" xfId="1" applyNumberFormat="1" applyFont="1"/>
    <xf numFmtId="165" fontId="2" fillId="0" borderId="0" xfId="1" applyNumberFormat="1" applyFont="1"/>
    <xf numFmtId="165" fontId="3" fillId="0" borderId="0" xfId="1" applyNumberFormat="1" applyFont="1"/>
    <xf numFmtId="0" fontId="2" fillId="0" borderId="0" xfId="0" applyFont="1"/>
    <xf numFmtId="166" fontId="2" fillId="0" borderId="0" xfId="0" applyNumberFormat="1" applyFont="1"/>
    <xf numFmtId="165" fontId="0" fillId="0" borderId="0" xfId="0" applyNumberFormat="1"/>
    <xf numFmtId="165" fontId="1" fillId="0" borderId="0" xfId="1" applyNumberFormat="1" applyFont="1"/>
    <xf numFmtId="167" fontId="1" fillId="0" borderId="0" xfId="1" applyNumberFormat="1" applyFont="1"/>
    <xf numFmtId="167" fontId="1" fillId="2" borderId="0" xfId="1" applyNumberFormat="1" applyFont="1" applyFill="1"/>
    <xf numFmtId="167" fontId="0" fillId="0" borderId="0" xfId="0" applyNumberFormat="1"/>
    <xf numFmtId="168" fontId="0" fillId="0" borderId="0" xfId="0" applyNumberFormat="1"/>
    <xf numFmtId="0" fontId="0" fillId="2" borderId="0" xfId="0" applyFill="1"/>
    <xf numFmtId="167" fontId="0" fillId="0" borderId="0" xfId="1" applyNumberFormat="1" applyFont="1"/>
    <xf numFmtId="0" fontId="3" fillId="0" borderId="0" xfId="0" applyFont="1"/>
    <xf numFmtId="0" fontId="0" fillId="0" borderId="0" xfId="0" applyFont="1"/>
    <xf numFmtId="3" fontId="0" fillId="0" borderId="0" xfId="0" applyNumberFormat="1"/>
    <xf numFmtId="164" fontId="0" fillId="0" borderId="0" xfId="0" applyNumberFormat="1"/>
    <xf numFmtId="167" fontId="3" fillId="0" borderId="0" xfId="1" applyNumberFormat="1" applyFont="1"/>
    <xf numFmtId="0" fontId="0" fillId="0" borderId="0" xfId="0" applyAlignment="1">
      <alignment horizontal="center"/>
    </xf>
    <xf numFmtId="167" fontId="1" fillId="4" borderId="0" xfId="1" applyNumberFormat="1" applyFont="1" applyFill="1"/>
    <xf numFmtId="165" fontId="0" fillId="2" borderId="0" xfId="1" applyNumberFormat="1" applyFont="1" applyFill="1"/>
    <xf numFmtId="165" fontId="3" fillId="2" borderId="0" xfId="1" applyNumberFormat="1" applyFont="1" applyFill="1"/>
    <xf numFmtId="167" fontId="0" fillId="4" borderId="0" xfId="1" applyNumberFormat="1" applyFont="1" applyFill="1"/>
    <xf numFmtId="165" fontId="0" fillId="4" borderId="0" xfId="1" applyNumberFormat="1" applyFont="1" applyFill="1"/>
    <xf numFmtId="165" fontId="0" fillId="3" borderId="0" xfId="0" applyNumberFormat="1" applyFill="1"/>
    <xf numFmtId="165" fontId="5" fillId="3" borderId="0" xfId="1" applyNumberFormat="1" applyFont="1" applyFill="1"/>
    <xf numFmtId="3" fontId="0" fillId="2" borderId="0" xfId="0" applyNumberFormat="1" applyFill="1"/>
    <xf numFmtId="0" fontId="0" fillId="0" borderId="0" xfId="0" applyAlignment="1"/>
    <xf numFmtId="165" fontId="0" fillId="2" borderId="0" xfId="0" applyNumberFormat="1" applyFill="1"/>
    <xf numFmtId="166" fontId="0" fillId="2" borderId="0" xfId="0" applyNumberFormat="1" applyFill="1" applyAlignment="1">
      <alignment horizontal="center"/>
    </xf>
    <xf numFmtId="164" fontId="0" fillId="2" borderId="0" xfId="0" applyNumberFormat="1" applyFill="1"/>
    <xf numFmtId="165" fontId="1" fillId="2" borderId="0" xfId="1" applyNumberFormat="1" applyFont="1" applyFill="1"/>
    <xf numFmtId="165" fontId="1" fillId="4" borderId="0" xfId="1" applyNumberFormat="1" applyFont="1" applyFill="1"/>
    <xf numFmtId="165" fontId="0" fillId="0" borderId="1" xfId="1" applyNumberFormat="1" applyFont="1" applyBorder="1"/>
    <xf numFmtId="165" fontId="0" fillId="0" borderId="0" xfId="1" applyNumberFormat="1" applyFont="1" applyBorder="1"/>
    <xf numFmtId="165" fontId="2" fillId="0" borderId="0" xfId="1" applyNumberFormat="1" applyFont="1" applyBorder="1"/>
    <xf numFmtId="0" fontId="0" fillId="0" borderId="3" xfId="0" applyBorder="1"/>
    <xf numFmtId="165" fontId="2" fillId="0" borderId="5" xfId="1" applyNumberFormat="1" applyFont="1" applyBorder="1"/>
    <xf numFmtId="165" fontId="2" fillId="0" borderId="0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4" xfId="1" applyNumberFormat="1" applyFont="1" applyBorder="1"/>
    <xf numFmtId="0" fontId="9" fillId="0" borderId="0" xfId="0" applyFont="1"/>
    <xf numFmtId="0" fontId="0" fillId="0" borderId="0" xfId="0" applyAlignment="1">
      <alignment horizontal="right"/>
    </xf>
    <xf numFmtId="0" fontId="9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165" fontId="0" fillId="0" borderId="8" xfId="1" applyNumberFormat="1" applyFont="1" applyBorder="1"/>
    <xf numFmtId="0" fontId="9" fillId="0" borderId="3" xfId="0" applyFont="1" applyBorder="1"/>
    <xf numFmtId="165" fontId="9" fillId="0" borderId="3" xfId="1" applyNumberFormat="1" applyFont="1" applyBorder="1"/>
    <xf numFmtId="0" fontId="9" fillId="0" borderId="3" xfId="0" applyFont="1" applyBorder="1" applyAlignment="1">
      <alignment horizontal="right"/>
    </xf>
    <xf numFmtId="0" fontId="4" fillId="0" borderId="3" xfId="0" applyFont="1" applyBorder="1"/>
    <xf numFmtId="165" fontId="9" fillId="0" borderId="3" xfId="0" applyNumberFormat="1" applyFont="1" applyBorder="1"/>
    <xf numFmtId="165" fontId="9" fillId="0" borderId="3" xfId="0" applyNumberFormat="1" applyFont="1" applyBorder="1" applyAlignment="1">
      <alignment horizontal="right"/>
    </xf>
    <xf numFmtId="165" fontId="0" fillId="0" borderId="3" xfId="1" applyNumberFormat="1" applyFont="1" applyBorder="1"/>
    <xf numFmtId="165" fontId="4" fillId="0" borderId="3" xfId="0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3" fontId="9" fillId="0" borderId="3" xfId="0" applyNumberFormat="1" applyFont="1" applyBorder="1"/>
    <xf numFmtId="0" fontId="10" fillId="0" borderId="3" xfId="0" applyFont="1" applyBorder="1"/>
    <xf numFmtId="165" fontId="10" fillId="0" borderId="3" xfId="1" applyNumberFormat="1" applyFont="1" applyBorder="1"/>
    <xf numFmtId="165" fontId="10" fillId="0" borderId="3" xfId="0" applyNumberFormat="1" applyFont="1" applyBorder="1" applyAlignment="1">
      <alignment horizontal="right"/>
    </xf>
    <xf numFmtId="165" fontId="12" fillId="0" borderId="3" xfId="1" applyNumberFormat="1" applyFont="1" applyBorder="1"/>
    <xf numFmtId="0" fontId="12" fillId="0" borderId="3" xfId="0" applyFont="1" applyBorder="1" applyAlignment="1">
      <alignment horizontal="right"/>
    </xf>
    <xf numFmtId="165" fontId="2" fillId="0" borderId="7" xfId="1" applyNumberFormat="1" applyFont="1" applyBorder="1"/>
    <xf numFmtId="165" fontId="0" fillId="0" borderId="9" xfId="1" applyNumberFormat="1" applyFont="1" applyBorder="1"/>
    <xf numFmtId="0" fontId="4" fillId="0" borderId="0" xfId="0" applyFont="1"/>
    <xf numFmtId="165" fontId="9" fillId="0" borderId="0" xfId="1" applyNumberFormat="1" applyFont="1"/>
    <xf numFmtId="165" fontId="4" fillId="0" borderId="3" xfId="1" applyNumberFormat="1" applyFont="1" applyBorder="1"/>
    <xf numFmtId="165" fontId="15" fillId="0" borderId="3" xfId="1" applyNumberFormat="1" applyFont="1" applyBorder="1"/>
    <xf numFmtId="0" fontId="16" fillId="0" borderId="3" xfId="0" applyFont="1" applyBorder="1"/>
    <xf numFmtId="165" fontId="16" fillId="0" borderId="0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65" fontId="16" fillId="0" borderId="3" xfId="1" applyNumberFormat="1" applyFont="1" applyBorder="1"/>
    <xf numFmtId="0" fontId="9" fillId="0" borderId="3" xfId="0" applyFont="1" applyFill="1" applyBorder="1"/>
    <xf numFmtId="9" fontId="9" fillId="0" borderId="3" xfId="0" applyNumberFormat="1" applyFont="1" applyBorder="1"/>
    <xf numFmtId="165" fontId="13" fillId="0" borderId="3" xfId="1" applyNumberFormat="1" applyFont="1" applyBorder="1"/>
    <xf numFmtId="165" fontId="14" fillId="0" borderId="3" xfId="1" applyNumberFormat="1" applyFont="1" applyBorder="1"/>
    <xf numFmtId="0" fontId="4" fillId="0" borderId="3" xfId="0" applyFont="1" applyFill="1" applyBorder="1"/>
    <xf numFmtId="165" fontId="13" fillId="0" borderId="3" xfId="0" applyNumberFormat="1" applyFont="1" applyBorder="1"/>
    <xf numFmtId="165" fontId="0" fillId="0" borderId="3" xfId="0" applyNumberFormat="1" applyBorder="1"/>
    <xf numFmtId="165" fontId="9" fillId="5" borderId="3" xfId="1" applyNumberFormat="1" applyFont="1" applyFill="1" applyBorder="1"/>
    <xf numFmtId="165" fontId="9" fillId="6" borderId="3" xfId="1" applyNumberFormat="1" applyFont="1" applyFill="1" applyBorder="1"/>
    <xf numFmtId="165" fontId="16" fillId="3" borderId="3" xfId="1" applyNumberFormat="1" applyFont="1" applyFill="1" applyBorder="1"/>
    <xf numFmtId="165" fontId="17" fillId="7" borderId="3" xfId="1" applyNumberFormat="1" applyFont="1" applyFill="1" applyBorder="1"/>
    <xf numFmtId="165" fontId="9" fillId="3" borderId="3" xfId="0" applyNumberFormat="1" applyFont="1" applyFill="1" applyBorder="1" applyAlignment="1">
      <alignment horizontal="right"/>
    </xf>
    <xf numFmtId="165" fontId="9" fillId="5" borderId="3" xfId="0" applyNumberFormat="1" applyFont="1" applyFill="1" applyBorder="1" applyAlignment="1">
      <alignment horizontal="right"/>
    </xf>
    <xf numFmtId="165" fontId="9" fillId="6" borderId="3" xfId="0" applyNumberFormat="1" applyFont="1" applyFill="1" applyBorder="1" applyAlignment="1">
      <alignment horizontal="right"/>
    </xf>
    <xf numFmtId="165" fontId="9" fillId="4" borderId="3" xfId="0" applyNumberFormat="1" applyFont="1" applyFill="1" applyBorder="1" applyAlignment="1">
      <alignment horizontal="right"/>
    </xf>
    <xf numFmtId="165" fontId="9" fillId="7" borderId="3" xfId="0" applyNumberFormat="1" applyFont="1" applyFill="1" applyBorder="1" applyAlignment="1">
      <alignment horizontal="right"/>
    </xf>
    <xf numFmtId="165" fontId="4" fillId="0" borderId="11" xfId="1" applyNumberFormat="1" applyFont="1" applyBorder="1"/>
    <xf numFmtId="165" fontId="9" fillId="0" borderId="11" xfId="1" applyNumberFormat="1" applyFont="1" applyBorder="1"/>
    <xf numFmtId="165" fontId="4" fillId="0" borderId="6" xfId="1" applyNumberFormat="1" applyFont="1" applyBorder="1"/>
    <xf numFmtId="0" fontId="4" fillId="0" borderId="0" xfId="0" applyFont="1" applyAlignment="1">
      <alignment horizontal="right"/>
    </xf>
    <xf numFmtId="165" fontId="4" fillId="0" borderId="0" xfId="1" applyNumberFormat="1" applyFont="1" applyAlignment="1">
      <alignment horizontal="right"/>
    </xf>
    <xf numFmtId="165" fontId="4" fillId="0" borderId="0" xfId="1" applyNumberFormat="1" applyFont="1"/>
    <xf numFmtId="0" fontId="0" fillId="0" borderId="0" xfId="0" applyBorder="1"/>
    <xf numFmtId="165" fontId="9" fillId="0" borderId="0" xfId="1" applyNumberFormat="1" applyFont="1" applyBorder="1"/>
    <xf numFmtId="165" fontId="15" fillId="0" borderId="0" xfId="1" applyNumberFormat="1" applyFont="1" applyBorder="1"/>
    <xf numFmtId="0" fontId="18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workbookViewId="0">
      <selection sqref="A1:XFD1048576"/>
    </sheetView>
  </sheetViews>
  <sheetFormatPr baseColWidth="10" defaultColWidth="8.83203125" defaultRowHeight="14" x14ac:dyDescent="0"/>
  <cols>
    <col min="1" max="1" width="27.5" customWidth="1"/>
    <col min="2" max="3" width="11.6640625" customWidth="1"/>
    <col min="4" max="4" width="17.5" customWidth="1"/>
  </cols>
  <sheetData>
    <row r="2" spans="1:4">
      <c r="B2" s="99" t="s">
        <v>158</v>
      </c>
      <c r="C2" s="99"/>
      <c r="D2" s="99"/>
    </row>
    <row r="3" spans="1:4">
      <c r="A3" t="s">
        <v>20</v>
      </c>
      <c r="B3" t="s">
        <v>21</v>
      </c>
      <c r="C3" t="s">
        <v>22</v>
      </c>
      <c r="D3" t="s">
        <v>23</v>
      </c>
    </row>
    <row r="4" spans="1:4">
      <c r="A4" t="s">
        <v>24</v>
      </c>
      <c r="B4" s="1">
        <v>5000</v>
      </c>
      <c r="C4" s="1">
        <v>20000</v>
      </c>
      <c r="D4" s="1">
        <f>B4*C4</f>
        <v>100000000</v>
      </c>
    </row>
    <row r="5" spans="1:4">
      <c r="A5" t="s">
        <v>25</v>
      </c>
      <c r="B5" s="1">
        <v>400</v>
      </c>
      <c r="C5" s="1">
        <v>200000</v>
      </c>
      <c r="D5" s="1">
        <f t="shared" ref="D5:D8" si="0">B5*C5</f>
        <v>80000000</v>
      </c>
    </row>
    <row r="6" spans="1:4">
      <c r="A6" t="s">
        <v>26</v>
      </c>
      <c r="B6" s="1">
        <f>B5*100</f>
        <v>40000</v>
      </c>
      <c r="C6" s="1">
        <v>3000</v>
      </c>
      <c r="D6" s="1">
        <f t="shared" si="0"/>
        <v>120000000</v>
      </c>
    </row>
    <row r="7" spans="1:4">
      <c r="A7" t="s">
        <v>27</v>
      </c>
      <c r="B7" s="1">
        <v>900</v>
      </c>
      <c r="C7" s="1">
        <v>10000</v>
      </c>
      <c r="D7" s="1">
        <f t="shared" si="0"/>
        <v>9000000</v>
      </c>
    </row>
    <row r="8" spans="1:4">
      <c r="A8" t="s">
        <v>28</v>
      </c>
      <c r="B8" s="1">
        <v>4</v>
      </c>
      <c r="C8" s="1">
        <v>500000</v>
      </c>
      <c r="D8" s="1">
        <f t="shared" si="0"/>
        <v>2000000</v>
      </c>
    </row>
    <row r="9" spans="1:4">
      <c r="A9" t="s">
        <v>29</v>
      </c>
      <c r="B9" s="1"/>
      <c r="C9" s="1"/>
      <c r="D9" s="1">
        <f>SUM(D4:D8)</f>
        <v>311000000</v>
      </c>
    </row>
    <row r="10" spans="1:4">
      <c r="A10" t="s">
        <v>30</v>
      </c>
      <c r="B10" s="1"/>
      <c r="C10" s="1"/>
      <c r="D10" s="1">
        <f>D9*0.3</f>
        <v>93300000</v>
      </c>
    </row>
    <row r="11" spans="1:4">
      <c r="A11" t="s">
        <v>31</v>
      </c>
      <c r="B11" s="1"/>
      <c r="C11" s="1"/>
      <c r="D11" s="1">
        <f>D9+D10</f>
        <v>404300000</v>
      </c>
    </row>
    <row r="12" spans="1:4">
      <c r="B12" s="1"/>
      <c r="C12" s="1"/>
      <c r="D12" s="1"/>
    </row>
    <row r="14" spans="1:4">
      <c r="A14" s="4" t="s">
        <v>34</v>
      </c>
      <c r="B14" s="4"/>
      <c r="C14" s="4"/>
      <c r="D14" s="4"/>
    </row>
    <row r="15" spans="1:4">
      <c r="A15" s="4" t="s">
        <v>75</v>
      </c>
      <c r="B15" s="2"/>
      <c r="C15" s="2"/>
      <c r="D15" s="2">
        <f>D11*0.02</f>
        <v>8086000</v>
      </c>
    </row>
    <row r="16" spans="1:4">
      <c r="A16" s="4" t="s">
        <v>35</v>
      </c>
      <c r="B16" s="2"/>
      <c r="C16" s="2"/>
      <c r="D16" s="2">
        <f>D10*0.3</f>
        <v>27990000</v>
      </c>
    </row>
    <row r="17" spans="1:5">
      <c r="A17" s="4" t="s">
        <v>32</v>
      </c>
      <c r="B17" s="2"/>
      <c r="C17" s="2"/>
      <c r="D17" s="2">
        <f>D10-D15-D16</f>
        <v>57224000</v>
      </c>
    </row>
    <row r="18" spans="1:5">
      <c r="A18" s="4"/>
      <c r="B18" s="4"/>
      <c r="C18" s="4"/>
      <c r="D18" s="5">
        <f>D17/D10*100</f>
        <v>61.333333333333329</v>
      </c>
      <c r="E18" t="s">
        <v>36</v>
      </c>
    </row>
    <row r="19" spans="1:5">
      <c r="A19" s="4" t="s">
        <v>76</v>
      </c>
      <c r="D19">
        <f>D17/D9*100</f>
        <v>18.399999999999999</v>
      </c>
    </row>
  </sheetData>
  <mergeCells count="1">
    <mergeCell ref="B2:D2"/>
  </mergeCells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5"/>
  <sheetViews>
    <sheetView workbookViewId="0">
      <selection activeCell="E21" sqref="E21:Q23"/>
    </sheetView>
  </sheetViews>
  <sheetFormatPr baseColWidth="10" defaultColWidth="8.83203125" defaultRowHeight="14" x14ac:dyDescent="0"/>
  <cols>
    <col min="1" max="1" width="27.5" customWidth="1"/>
    <col min="2" max="2" width="32.33203125" customWidth="1"/>
    <col min="3" max="3" width="14.83203125" customWidth="1"/>
    <col min="4" max="4" width="14.6640625" customWidth="1"/>
    <col min="5" max="5" width="14.83203125" customWidth="1"/>
    <col min="6" max="6" width="14.5" customWidth="1"/>
    <col min="7" max="7" width="13.6640625" customWidth="1"/>
    <col min="8" max="8" width="12.83203125" customWidth="1"/>
    <col min="9" max="9" width="9.1640625" customWidth="1"/>
    <col min="17" max="17" width="11.5" customWidth="1"/>
  </cols>
  <sheetData>
    <row r="1" spans="1:17">
      <c r="A1" t="s">
        <v>4</v>
      </c>
      <c r="E1" t="s">
        <v>120</v>
      </c>
    </row>
    <row r="3" spans="1:17">
      <c r="A3" t="s">
        <v>127</v>
      </c>
      <c r="B3" t="s">
        <v>128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41</v>
      </c>
    </row>
    <row r="4" spans="1:17">
      <c r="A4" t="s">
        <v>17</v>
      </c>
      <c r="E4" s="1">
        <v>2</v>
      </c>
      <c r="F4" s="1">
        <v>2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2</v>
      </c>
      <c r="M4" s="1">
        <v>2</v>
      </c>
      <c r="N4" s="1">
        <v>2</v>
      </c>
      <c r="O4" s="1">
        <v>2</v>
      </c>
      <c r="P4" s="1">
        <v>2</v>
      </c>
      <c r="Q4" s="1">
        <f>SUM(E4:P4)</f>
        <v>24</v>
      </c>
    </row>
    <row r="5" spans="1:17">
      <c r="A5" t="s">
        <v>18</v>
      </c>
      <c r="E5" s="1"/>
      <c r="F5" s="1">
        <v>4</v>
      </c>
      <c r="G5" s="1"/>
      <c r="H5" s="1">
        <v>4</v>
      </c>
      <c r="I5" s="1"/>
      <c r="J5" s="1">
        <v>4</v>
      </c>
      <c r="K5" s="1"/>
      <c r="L5" s="1">
        <v>4</v>
      </c>
      <c r="M5" s="1"/>
      <c r="N5" s="1">
        <v>4</v>
      </c>
      <c r="O5" s="1"/>
      <c r="P5" s="1">
        <v>4</v>
      </c>
      <c r="Q5" s="1">
        <f>SUM(E5:P5)</f>
        <v>24</v>
      </c>
    </row>
    <row r="6" spans="1:17">
      <c r="A6" t="s">
        <v>119</v>
      </c>
      <c r="E6" s="21">
        <v>450000</v>
      </c>
      <c r="F6" s="1">
        <f>E6</f>
        <v>450000</v>
      </c>
      <c r="G6" s="1">
        <f t="shared" ref="G6:P6" si="0">F6</f>
        <v>450000</v>
      </c>
      <c r="H6" s="1">
        <f t="shared" si="0"/>
        <v>450000</v>
      </c>
      <c r="I6" s="1">
        <f t="shared" si="0"/>
        <v>450000</v>
      </c>
      <c r="J6" s="1">
        <f t="shared" si="0"/>
        <v>450000</v>
      </c>
      <c r="K6" s="1">
        <f t="shared" si="0"/>
        <v>450000</v>
      </c>
      <c r="L6" s="1">
        <f t="shared" si="0"/>
        <v>450000</v>
      </c>
      <c r="M6" s="1">
        <f t="shared" si="0"/>
        <v>450000</v>
      </c>
      <c r="N6" s="1">
        <f t="shared" si="0"/>
        <v>450000</v>
      </c>
      <c r="O6" s="1">
        <f t="shared" si="0"/>
        <v>450000</v>
      </c>
      <c r="P6" s="1">
        <f t="shared" si="0"/>
        <v>450000</v>
      </c>
      <c r="Q6" s="1">
        <f t="shared" ref="Q6:Q19" si="1">SUM(E6:P6)</f>
        <v>5400000</v>
      </c>
    </row>
    <row r="7" spans="1:17">
      <c r="A7" s="4" t="s">
        <v>42</v>
      </c>
      <c r="B7" s="4"/>
      <c r="C7" s="4"/>
      <c r="D7" s="4"/>
      <c r="E7" s="2">
        <f>E4*E6</f>
        <v>900000</v>
      </c>
      <c r="F7" s="2">
        <f t="shared" ref="F7:P7" si="2">F4*F6</f>
        <v>900000</v>
      </c>
      <c r="G7" s="2">
        <f t="shared" si="2"/>
        <v>900000</v>
      </c>
      <c r="H7" s="2">
        <f t="shared" si="2"/>
        <v>900000</v>
      </c>
      <c r="I7" s="2">
        <f t="shared" si="2"/>
        <v>900000</v>
      </c>
      <c r="J7" s="2">
        <f t="shared" si="2"/>
        <v>900000</v>
      </c>
      <c r="K7" s="2">
        <f t="shared" si="2"/>
        <v>900000</v>
      </c>
      <c r="L7" s="2">
        <f t="shared" si="2"/>
        <v>900000</v>
      </c>
      <c r="M7" s="2">
        <f t="shared" si="2"/>
        <v>900000</v>
      </c>
      <c r="N7" s="2">
        <f t="shared" si="2"/>
        <v>900000</v>
      </c>
      <c r="O7" s="2">
        <f t="shared" si="2"/>
        <v>900000</v>
      </c>
      <c r="P7" s="2">
        <f t="shared" si="2"/>
        <v>900000</v>
      </c>
      <c r="Q7" s="2">
        <f t="shared" si="1"/>
        <v>10800000</v>
      </c>
    </row>
    <row r="8" spans="1:17"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si="1"/>
        <v>0</v>
      </c>
    </row>
    <row r="9" spans="1:17">
      <c r="A9" t="s">
        <v>121</v>
      </c>
      <c r="E9" s="1"/>
      <c r="F9" s="1"/>
      <c r="G9" s="1"/>
      <c r="H9" s="1"/>
      <c r="I9" s="1"/>
      <c r="J9" s="1"/>
      <c r="K9" s="1"/>
      <c r="L9" s="1"/>
      <c r="M9" s="1" t="s">
        <v>156</v>
      </c>
      <c r="N9" s="1"/>
      <c r="O9" s="1"/>
      <c r="P9" s="1"/>
      <c r="Q9" s="1">
        <f t="shared" si="1"/>
        <v>0</v>
      </c>
    </row>
    <row r="10" spans="1:17">
      <c r="A10" t="s">
        <v>78</v>
      </c>
      <c r="B10" t="s">
        <v>126</v>
      </c>
      <c r="E10" s="1" t="e">
        <f>#REF!*2/1000</f>
        <v>#REF!</v>
      </c>
      <c r="F10" s="1" t="e">
        <f>E10</f>
        <v>#REF!</v>
      </c>
      <c r="G10" s="1" t="e">
        <f t="shared" ref="G10:P10" si="3">F10</f>
        <v>#REF!</v>
      </c>
      <c r="H10" s="1" t="e">
        <f t="shared" si="3"/>
        <v>#REF!</v>
      </c>
      <c r="I10" s="1" t="e">
        <f t="shared" si="3"/>
        <v>#REF!</v>
      </c>
      <c r="J10" s="1" t="e">
        <f t="shared" si="3"/>
        <v>#REF!</v>
      </c>
      <c r="K10" s="1" t="e">
        <f t="shared" si="3"/>
        <v>#REF!</v>
      </c>
      <c r="L10" s="1" t="e">
        <f t="shared" si="3"/>
        <v>#REF!</v>
      </c>
      <c r="M10" s="1" t="e">
        <f t="shared" si="3"/>
        <v>#REF!</v>
      </c>
      <c r="N10" s="1" t="e">
        <f t="shared" si="3"/>
        <v>#REF!</v>
      </c>
      <c r="O10" s="1" t="e">
        <f t="shared" si="3"/>
        <v>#REF!</v>
      </c>
      <c r="P10" s="1" t="e">
        <f t="shared" si="3"/>
        <v>#REF!</v>
      </c>
      <c r="Q10" s="1" t="e">
        <f t="shared" si="1"/>
        <v>#REF!</v>
      </c>
    </row>
    <row r="11" spans="1:17">
      <c r="A11" t="s">
        <v>2</v>
      </c>
      <c r="B11" t="s">
        <v>112</v>
      </c>
      <c r="E11" s="1" t="e">
        <f>#REF!*2/1000</f>
        <v>#REF!</v>
      </c>
      <c r="F11" s="1" t="e">
        <f t="shared" ref="F11:P18" si="4">E11</f>
        <v>#REF!</v>
      </c>
      <c r="G11" s="1" t="e">
        <f t="shared" si="4"/>
        <v>#REF!</v>
      </c>
      <c r="H11" s="1" t="e">
        <f t="shared" si="4"/>
        <v>#REF!</v>
      </c>
      <c r="I11" s="1" t="e">
        <f t="shared" si="4"/>
        <v>#REF!</v>
      </c>
      <c r="J11" s="1" t="e">
        <f t="shared" si="4"/>
        <v>#REF!</v>
      </c>
      <c r="K11" s="1" t="e">
        <f t="shared" si="4"/>
        <v>#REF!</v>
      </c>
      <c r="L11" s="1" t="e">
        <f t="shared" si="4"/>
        <v>#REF!</v>
      </c>
      <c r="M11" s="1" t="e">
        <f t="shared" si="4"/>
        <v>#REF!</v>
      </c>
      <c r="N11" s="1" t="e">
        <f t="shared" si="4"/>
        <v>#REF!</v>
      </c>
      <c r="O11" s="1" t="e">
        <f t="shared" si="4"/>
        <v>#REF!</v>
      </c>
      <c r="P11" s="1" t="e">
        <f t="shared" si="4"/>
        <v>#REF!</v>
      </c>
      <c r="Q11" s="1" t="e">
        <f t="shared" si="1"/>
        <v>#REF!</v>
      </c>
    </row>
    <row r="12" spans="1:17">
      <c r="A12" t="s">
        <v>80</v>
      </c>
      <c r="B12" t="s">
        <v>160</v>
      </c>
      <c r="C12" t="s">
        <v>159</v>
      </c>
      <c r="E12" s="21">
        <v>30000</v>
      </c>
      <c r="F12" s="1">
        <f t="shared" si="4"/>
        <v>30000</v>
      </c>
      <c r="G12" s="1">
        <f t="shared" si="4"/>
        <v>30000</v>
      </c>
      <c r="H12" s="1">
        <f t="shared" si="4"/>
        <v>30000</v>
      </c>
      <c r="I12" s="1">
        <f t="shared" si="4"/>
        <v>30000</v>
      </c>
      <c r="J12" s="1">
        <f t="shared" si="4"/>
        <v>30000</v>
      </c>
      <c r="K12" s="1">
        <f t="shared" si="4"/>
        <v>30000</v>
      </c>
      <c r="L12" s="1">
        <f t="shared" si="4"/>
        <v>30000</v>
      </c>
      <c r="M12" s="1">
        <f t="shared" si="4"/>
        <v>30000</v>
      </c>
      <c r="N12" s="1">
        <f t="shared" si="4"/>
        <v>30000</v>
      </c>
      <c r="O12" s="1">
        <f t="shared" si="4"/>
        <v>30000</v>
      </c>
      <c r="P12" s="1">
        <f t="shared" si="4"/>
        <v>30000</v>
      </c>
      <c r="Q12" s="1">
        <f t="shared" si="1"/>
        <v>360000</v>
      </c>
    </row>
    <row r="13" spans="1:17">
      <c r="A13" t="s">
        <v>39</v>
      </c>
      <c r="B13" t="s">
        <v>111</v>
      </c>
      <c r="E13" s="1" t="e">
        <f>#REF!*2/1000</f>
        <v>#REF!</v>
      </c>
      <c r="F13" s="1" t="e">
        <f t="shared" si="4"/>
        <v>#REF!</v>
      </c>
      <c r="G13" s="1" t="e">
        <f t="shared" si="4"/>
        <v>#REF!</v>
      </c>
      <c r="H13" s="1" t="e">
        <f t="shared" si="4"/>
        <v>#REF!</v>
      </c>
      <c r="I13" s="1" t="e">
        <f t="shared" si="4"/>
        <v>#REF!</v>
      </c>
      <c r="J13" s="1" t="e">
        <f t="shared" si="4"/>
        <v>#REF!</v>
      </c>
      <c r="K13" s="1" t="e">
        <f t="shared" si="4"/>
        <v>#REF!</v>
      </c>
      <c r="L13" s="1" t="e">
        <f t="shared" si="4"/>
        <v>#REF!</v>
      </c>
      <c r="M13" s="1" t="e">
        <f t="shared" si="4"/>
        <v>#REF!</v>
      </c>
      <c r="N13" s="1" t="e">
        <f t="shared" si="4"/>
        <v>#REF!</v>
      </c>
      <c r="O13" s="1" t="e">
        <f t="shared" si="4"/>
        <v>#REF!</v>
      </c>
      <c r="P13" s="1" t="e">
        <f t="shared" si="4"/>
        <v>#REF!</v>
      </c>
      <c r="Q13" s="1" t="e">
        <f t="shared" si="1"/>
        <v>#REF!</v>
      </c>
    </row>
    <row r="14" spans="1:17">
      <c r="A14" t="s">
        <v>43</v>
      </c>
      <c r="B14" t="s">
        <v>118</v>
      </c>
      <c r="E14" s="1" t="e">
        <f>#REF!*2/1000</f>
        <v>#REF!</v>
      </c>
      <c r="F14" s="1" t="e">
        <f t="shared" si="4"/>
        <v>#REF!</v>
      </c>
      <c r="G14" s="1" t="e">
        <f t="shared" si="4"/>
        <v>#REF!</v>
      </c>
      <c r="H14" s="1" t="e">
        <f t="shared" si="4"/>
        <v>#REF!</v>
      </c>
      <c r="I14" s="1" t="e">
        <f t="shared" si="4"/>
        <v>#REF!</v>
      </c>
      <c r="J14" s="1" t="e">
        <f t="shared" si="4"/>
        <v>#REF!</v>
      </c>
      <c r="K14" s="1" t="e">
        <f t="shared" si="4"/>
        <v>#REF!</v>
      </c>
      <c r="L14" s="1" t="e">
        <f t="shared" si="4"/>
        <v>#REF!</v>
      </c>
      <c r="M14" s="1" t="e">
        <f t="shared" si="4"/>
        <v>#REF!</v>
      </c>
      <c r="N14" s="1" t="e">
        <f t="shared" si="4"/>
        <v>#REF!</v>
      </c>
      <c r="O14" s="1" t="e">
        <f t="shared" si="4"/>
        <v>#REF!</v>
      </c>
      <c r="P14" s="1" t="e">
        <f t="shared" si="4"/>
        <v>#REF!</v>
      </c>
      <c r="Q14" s="1" t="e">
        <f t="shared" si="1"/>
        <v>#REF!</v>
      </c>
    </row>
    <row r="15" spans="1:17">
      <c r="A15" t="s">
        <v>89</v>
      </c>
      <c r="B15" t="s">
        <v>114</v>
      </c>
      <c r="E15" s="1" t="e">
        <f>#REF!*2/1000</f>
        <v>#REF!</v>
      </c>
      <c r="F15" s="1" t="e">
        <f t="shared" si="4"/>
        <v>#REF!</v>
      </c>
      <c r="G15" s="1" t="e">
        <f t="shared" si="4"/>
        <v>#REF!</v>
      </c>
      <c r="H15" s="1" t="e">
        <f t="shared" si="4"/>
        <v>#REF!</v>
      </c>
      <c r="I15" s="1" t="e">
        <f t="shared" si="4"/>
        <v>#REF!</v>
      </c>
      <c r="J15" s="1" t="e">
        <f t="shared" si="4"/>
        <v>#REF!</v>
      </c>
      <c r="K15" s="1" t="e">
        <f t="shared" si="4"/>
        <v>#REF!</v>
      </c>
      <c r="L15" s="1" t="e">
        <f t="shared" si="4"/>
        <v>#REF!</v>
      </c>
      <c r="M15" s="1" t="e">
        <f t="shared" si="4"/>
        <v>#REF!</v>
      </c>
      <c r="N15" s="1" t="e">
        <f t="shared" si="4"/>
        <v>#REF!</v>
      </c>
      <c r="O15" s="1" t="e">
        <f t="shared" si="4"/>
        <v>#REF!</v>
      </c>
      <c r="P15" s="1" t="e">
        <f t="shared" si="4"/>
        <v>#REF!</v>
      </c>
      <c r="Q15" s="1" t="e">
        <f t="shared" si="1"/>
        <v>#REF!</v>
      </c>
    </row>
    <row r="16" spans="1:17">
      <c r="A16" t="s">
        <v>122</v>
      </c>
      <c r="B16" t="s">
        <v>161</v>
      </c>
      <c r="C16">
        <f>170000/(20*24)</f>
        <v>354.16666666666669</v>
      </c>
      <c r="E16" s="21">
        <v>708.33399999999995</v>
      </c>
      <c r="F16" s="1">
        <f t="shared" si="4"/>
        <v>708.33399999999995</v>
      </c>
      <c r="G16" s="1">
        <f t="shared" si="4"/>
        <v>708.33399999999995</v>
      </c>
      <c r="H16" s="1">
        <f t="shared" si="4"/>
        <v>708.33399999999995</v>
      </c>
      <c r="I16" s="1">
        <f t="shared" si="4"/>
        <v>708.33399999999995</v>
      </c>
      <c r="J16" s="1">
        <f t="shared" si="4"/>
        <v>708.33399999999995</v>
      </c>
      <c r="K16" s="1">
        <f t="shared" si="4"/>
        <v>708.33399999999995</v>
      </c>
      <c r="L16" s="1">
        <f t="shared" si="4"/>
        <v>708.33399999999995</v>
      </c>
      <c r="M16" s="1">
        <f t="shared" si="4"/>
        <v>708.33399999999995</v>
      </c>
      <c r="N16" s="1">
        <f t="shared" si="4"/>
        <v>708.33399999999995</v>
      </c>
      <c r="O16" s="1">
        <f t="shared" si="4"/>
        <v>708.33399999999995</v>
      </c>
      <c r="P16" s="1">
        <f t="shared" si="4"/>
        <v>708.33399999999995</v>
      </c>
      <c r="Q16" s="1">
        <f t="shared" si="1"/>
        <v>8500.0079999999998</v>
      </c>
    </row>
    <row r="17" spans="1:17">
      <c r="A17" t="s">
        <v>123</v>
      </c>
      <c r="B17" t="s">
        <v>143</v>
      </c>
      <c r="E17" s="1" t="e">
        <f>#REF!*2/1000</f>
        <v>#REF!</v>
      </c>
      <c r="F17" s="1" t="e">
        <f t="shared" si="4"/>
        <v>#REF!</v>
      </c>
      <c r="G17" s="1" t="e">
        <f t="shared" si="4"/>
        <v>#REF!</v>
      </c>
      <c r="H17" s="1" t="e">
        <f t="shared" si="4"/>
        <v>#REF!</v>
      </c>
      <c r="I17" s="1" t="e">
        <f t="shared" si="4"/>
        <v>#REF!</v>
      </c>
      <c r="J17" s="1" t="e">
        <f t="shared" si="4"/>
        <v>#REF!</v>
      </c>
      <c r="K17" s="1" t="e">
        <f t="shared" si="4"/>
        <v>#REF!</v>
      </c>
      <c r="L17" s="1" t="e">
        <f t="shared" si="4"/>
        <v>#REF!</v>
      </c>
      <c r="M17" s="1" t="e">
        <f t="shared" si="4"/>
        <v>#REF!</v>
      </c>
      <c r="N17" s="1" t="e">
        <f t="shared" si="4"/>
        <v>#REF!</v>
      </c>
      <c r="O17" s="1" t="e">
        <f t="shared" si="4"/>
        <v>#REF!</v>
      </c>
      <c r="P17" s="1" t="e">
        <f t="shared" si="4"/>
        <v>#REF!</v>
      </c>
      <c r="Q17" s="1" t="e">
        <f t="shared" si="1"/>
        <v>#REF!</v>
      </c>
    </row>
    <row r="18" spans="1:17">
      <c r="A18" t="s">
        <v>131</v>
      </c>
      <c r="E18" s="21">
        <f>L35</f>
        <v>10900</v>
      </c>
      <c r="F18" s="21">
        <f>E18</f>
        <v>10900</v>
      </c>
      <c r="G18" s="21">
        <f t="shared" si="4"/>
        <v>10900</v>
      </c>
      <c r="H18" s="21">
        <f t="shared" si="4"/>
        <v>10900</v>
      </c>
      <c r="I18" s="21">
        <f t="shared" si="4"/>
        <v>10900</v>
      </c>
      <c r="J18" s="21">
        <f t="shared" si="4"/>
        <v>10900</v>
      </c>
      <c r="K18" s="21">
        <f t="shared" si="4"/>
        <v>10900</v>
      </c>
      <c r="L18" s="21">
        <f t="shared" si="4"/>
        <v>10900</v>
      </c>
      <c r="M18" s="21">
        <f t="shared" si="4"/>
        <v>10900</v>
      </c>
      <c r="N18" s="21">
        <f t="shared" si="4"/>
        <v>10900</v>
      </c>
      <c r="O18" s="21">
        <f t="shared" si="4"/>
        <v>10900</v>
      </c>
      <c r="P18" s="21">
        <f t="shared" si="4"/>
        <v>10900</v>
      </c>
      <c r="Q18" s="21">
        <f t="shared" si="1"/>
        <v>130800</v>
      </c>
    </row>
    <row r="19" spans="1:17">
      <c r="A19" s="4" t="s">
        <v>29</v>
      </c>
      <c r="B19" s="4"/>
      <c r="C19" s="4"/>
      <c r="D19" s="4"/>
      <c r="E19" s="2" t="e">
        <f t="shared" ref="E19:P19" si="5">SUM(E10:E18)</f>
        <v>#REF!</v>
      </c>
      <c r="F19" s="2" t="e">
        <f t="shared" si="5"/>
        <v>#REF!</v>
      </c>
      <c r="G19" s="2" t="e">
        <f t="shared" si="5"/>
        <v>#REF!</v>
      </c>
      <c r="H19" s="2" t="e">
        <f t="shared" si="5"/>
        <v>#REF!</v>
      </c>
      <c r="I19" s="2" t="e">
        <f t="shared" si="5"/>
        <v>#REF!</v>
      </c>
      <c r="J19" s="2" t="e">
        <f t="shared" si="5"/>
        <v>#REF!</v>
      </c>
      <c r="K19" s="2" t="e">
        <f t="shared" si="5"/>
        <v>#REF!</v>
      </c>
      <c r="L19" s="2" t="e">
        <f t="shared" si="5"/>
        <v>#REF!</v>
      </c>
      <c r="M19" s="2" t="e">
        <f t="shared" si="5"/>
        <v>#REF!</v>
      </c>
      <c r="N19" s="2" t="e">
        <f t="shared" si="5"/>
        <v>#REF!</v>
      </c>
      <c r="O19" s="2" t="e">
        <f t="shared" si="5"/>
        <v>#REF!</v>
      </c>
      <c r="P19" s="2" t="e">
        <f t="shared" si="5"/>
        <v>#REF!</v>
      </c>
      <c r="Q19" s="2" t="e">
        <f t="shared" si="1"/>
        <v>#REF!</v>
      </c>
    </row>
    <row r="20" spans="1:17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4" t="s">
        <v>32</v>
      </c>
      <c r="B21" s="4"/>
      <c r="C21" s="4"/>
      <c r="D21" s="4"/>
      <c r="E21" s="2" t="e">
        <f>E7-E19</f>
        <v>#REF!</v>
      </c>
      <c r="F21" s="2" t="e">
        <f t="shared" ref="F21:P21" si="6">F7-F19</f>
        <v>#REF!</v>
      </c>
      <c r="G21" s="2" t="e">
        <f t="shared" si="6"/>
        <v>#REF!</v>
      </c>
      <c r="H21" s="2" t="e">
        <f t="shared" si="6"/>
        <v>#REF!</v>
      </c>
      <c r="I21" s="2" t="e">
        <f t="shared" si="6"/>
        <v>#REF!</v>
      </c>
      <c r="J21" s="2" t="e">
        <f t="shared" si="6"/>
        <v>#REF!</v>
      </c>
      <c r="K21" s="2" t="e">
        <f t="shared" si="6"/>
        <v>#REF!</v>
      </c>
      <c r="L21" s="2" t="e">
        <f t="shared" si="6"/>
        <v>#REF!</v>
      </c>
      <c r="M21" s="2" t="e">
        <f t="shared" si="6"/>
        <v>#REF!</v>
      </c>
      <c r="N21" s="2" t="e">
        <f t="shared" si="6"/>
        <v>#REF!</v>
      </c>
      <c r="O21" s="2" t="e">
        <f t="shared" si="6"/>
        <v>#REF!</v>
      </c>
      <c r="P21" s="2" t="e">
        <f t="shared" si="6"/>
        <v>#REF!</v>
      </c>
      <c r="Q21" s="2" t="e">
        <f>SUM(E21:P21)</f>
        <v>#REF!</v>
      </c>
    </row>
    <row r="22" spans="1:17">
      <c r="A22" t="s">
        <v>148</v>
      </c>
      <c r="E22" s="1" t="e">
        <f>E21*0.3</f>
        <v>#REF!</v>
      </c>
      <c r="F22" s="1" t="e">
        <f t="shared" ref="F22:Q22" si="7">F21*0.3</f>
        <v>#REF!</v>
      </c>
      <c r="G22" s="1" t="e">
        <f t="shared" si="7"/>
        <v>#REF!</v>
      </c>
      <c r="H22" s="1" t="e">
        <f t="shared" si="7"/>
        <v>#REF!</v>
      </c>
      <c r="I22" s="1" t="e">
        <f t="shared" si="7"/>
        <v>#REF!</v>
      </c>
      <c r="J22" s="1" t="e">
        <f t="shared" si="7"/>
        <v>#REF!</v>
      </c>
      <c r="K22" s="1" t="e">
        <f t="shared" si="7"/>
        <v>#REF!</v>
      </c>
      <c r="L22" s="1" t="e">
        <f t="shared" si="7"/>
        <v>#REF!</v>
      </c>
      <c r="M22" s="1" t="e">
        <f t="shared" si="7"/>
        <v>#REF!</v>
      </c>
      <c r="N22" s="1" t="e">
        <f t="shared" si="7"/>
        <v>#REF!</v>
      </c>
      <c r="O22" s="1" t="e">
        <f t="shared" si="7"/>
        <v>#REF!</v>
      </c>
      <c r="P22" s="1" t="e">
        <f t="shared" si="7"/>
        <v>#REF!</v>
      </c>
      <c r="Q22" s="1" t="e">
        <f t="shared" si="7"/>
        <v>#REF!</v>
      </c>
    </row>
    <row r="23" spans="1:17">
      <c r="A23" s="4" t="s">
        <v>44</v>
      </c>
      <c r="E23" s="3" t="e">
        <f>E21-E22</f>
        <v>#REF!</v>
      </c>
      <c r="F23" s="3" t="e">
        <f t="shared" ref="F23:Q23" si="8">F21-F22</f>
        <v>#REF!</v>
      </c>
      <c r="G23" s="3" t="e">
        <f t="shared" si="8"/>
        <v>#REF!</v>
      </c>
      <c r="H23" s="3" t="e">
        <f t="shared" si="8"/>
        <v>#REF!</v>
      </c>
      <c r="I23" s="3" t="e">
        <f t="shared" si="8"/>
        <v>#REF!</v>
      </c>
      <c r="J23" s="3" t="e">
        <f t="shared" si="8"/>
        <v>#REF!</v>
      </c>
      <c r="K23" s="3" t="e">
        <f t="shared" si="8"/>
        <v>#REF!</v>
      </c>
      <c r="L23" s="3" t="e">
        <f t="shared" si="8"/>
        <v>#REF!</v>
      </c>
      <c r="M23" s="3" t="e">
        <f t="shared" si="8"/>
        <v>#REF!</v>
      </c>
      <c r="N23" s="3" t="e">
        <f t="shared" si="8"/>
        <v>#REF!</v>
      </c>
      <c r="O23" s="3" t="e">
        <f t="shared" si="8"/>
        <v>#REF!</v>
      </c>
      <c r="P23" s="3" t="e">
        <f t="shared" si="8"/>
        <v>#REF!</v>
      </c>
      <c r="Q23" s="3" t="e">
        <f t="shared" si="8"/>
        <v>#REF!</v>
      </c>
    </row>
    <row r="24" spans="1:17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4" t="s">
        <v>46</v>
      </c>
      <c r="B25" t="s">
        <v>45</v>
      </c>
      <c r="C25" s="17" t="e">
        <f>Q23*100/3600000</f>
        <v>#REF!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D27" s="12"/>
      <c r="E27" s="1" t="s">
        <v>50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E31" s="12"/>
      <c r="F31" s="12"/>
      <c r="G31" s="12"/>
      <c r="H31" s="12" t="s">
        <v>0</v>
      </c>
      <c r="I31" s="12"/>
      <c r="J31" s="12"/>
      <c r="K31" s="12"/>
      <c r="L31" s="12"/>
      <c r="M31" s="1"/>
      <c r="N31" s="1"/>
      <c r="O31" s="1"/>
      <c r="P31" s="1"/>
      <c r="Q31" s="1"/>
    </row>
    <row r="32" spans="1:17">
      <c r="E32" s="12" t="s">
        <v>51</v>
      </c>
      <c r="F32" s="27"/>
      <c r="G32" s="12"/>
      <c r="H32" s="27">
        <v>750000</v>
      </c>
      <c r="I32" s="12"/>
      <c r="J32" s="12"/>
      <c r="K32" s="12"/>
      <c r="L32" s="12"/>
      <c r="M32" s="1"/>
      <c r="N32" s="1"/>
      <c r="O32" s="1"/>
      <c r="P32" s="1"/>
      <c r="Q32" s="1"/>
    </row>
    <row r="33" spans="5:17">
      <c r="E33" s="12" t="s">
        <v>152</v>
      </c>
      <c r="F33" s="12"/>
      <c r="G33" s="12"/>
      <c r="H33" s="27">
        <v>16000</v>
      </c>
      <c r="I33" s="12"/>
      <c r="J33" s="12"/>
      <c r="K33" s="12"/>
      <c r="L33" s="12"/>
      <c r="M33" s="1"/>
      <c r="N33" s="1">
        <f>16*12</f>
        <v>192</v>
      </c>
      <c r="O33" s="1"/>
      <c r="P33" s="1"/>
      <c r="Q33" s="1"/>
    </row>
    <row r="34" spans="5:17">
      <c r="E34" s="12" t="s">
        <v>52</v>
      </c>
      <c r="F34" s="12"/>
      <c r="G34" s="12" t="s">
        <v>77</v>
      </c>
      <c r="H34" s="12" t="s">
        <v>58</v>
      </c>
      <c r="I34" s="12" t="s">
        <v>59</v>
      </c>
      <c r="J34" s="12" t="s">
        <v>60</v>
      </c>
      <c r="K34" s="12" t="s">
        <v>62</v>
      </c>
      <c r="L34" s="12" t="s">
        <v>61</v>
      </c>
      <c r="M34" s="1"/>
      <c r="N34" s="1"/>
      <c r="O34" s="1"/>
      <c r="P34" s="1"/>
      <c r="Q34" s="1"/>
    </row>
    <row r="35" spans="5:17">
      <c r="E35" s="12"/>
      <c r="F35" s="12"/>
      <c r="G35" s="12" t="s">
        <v>53</v>
      </c>
      <c r="H35" s="21">
        <v>750000</v>
      </c>
      <c r="I35" s="21">
        <v>192000</v>
      </c>
      <c r="J35" s="21">
        <f>H35-I35</f>
        <v>558000</v>
      </c>
      <c r="K35" s="21">
        <f>(H35+J35)/2*0.2</f>
        <v>130800</v>
      </c>
      <c r="L35" s="21">
        <f>K35/12</f>
        <v>10900</v>
      </c>
      <c r="M35" s="1"/>
      <c r="N35" s="1"/>
      <c r="O35" s="1"/>
      <c r="P35" s="1"/>
      <c r="Q35" s="1"/>
    </row>
    <row r="36" spans="5:17">
      <c r="E36" s="12"/>
      <c r="F36" s="12"/>
      <c r="G36" s="12" t="s">
        <v>54</v>
      </c>
      <c r="H36" s="21">
        <f>J35</f>
        <v>558000</v>
      </c>
      <c r="I36" s="21">
        <f>I35</f>
        <v>192000</v>
      </c>
      <c r="J36" s="21">
        <f t="shared" ref="J36:J39" si="9">H36-I36</f>
        <v>366000</v>
      </c>
      <c r="K36" s="21">
        <f t="shared" ref="K36:K39" si="10">(H36+J36)/2*0.2</f>
        <v>92400</v>
      </c>
      <c r="L36" s="21">
        <f t="shared" ref="L36:L40" si="11">K36/12</f>
        <v>7700</v>
      </c>
      <c r="M36" s="1"/>
      <c r="N36" s="1"/>
      <c r="O36" s="1"/>
      <c r="P36" s="1"/>
      <c r="Q36" s="1"/>
    </row>
    <row r="37" spans="5:17">
      <c r="E37" s="12"/>
      <c r="F37" s="12"/>
      <c r="G37" s="12" t="s">
        <v>55</v>
      </c>
      <c r="H37" s="21">
        <f t="shared" ref="H37:H39" si="12">J36</f>
        <v>366000</v>
      </c>
      <c r="I37" s="21">
        <f>I36</f>
        <v>192000</v>
      </c>
      <c r="J37" s="21">
        <f t="shared" si="9"/>
        <v>174000</v>
      </c>
      <c r="K37" s="21">
        <f t="shared" si="10"/>
        <v>54000</v>
      </c>
      <c r="L37" s="21">
        <f t="shared" si="11"/>
        <v>4500</v>
      </c>
      <c r="M37" s="1"/>
      <c r="N37" s="1"/>
      <c r="O37" s="1"/>
      <c r="P37" s="1"/>
      <c r="Q37" s="1"/>
    </row>
    <row r="38" spans="5:17">
      <c r="E38" s="12"/>
      <c r="F38" s="12"/>
      <c r="G38" s="12" t="s">
        <v>56</v>
      </c>
      <c r="H38" s="21">
        <f t="shared" si="12"/>
        <v>174000</v>
      </c>
      <c r="I38" s="21">
        <v>174000</v>
      </c>
      <c r="J38" s="21">
        <f t="shared" si="9"/>
        <v>0</v>
      </c>
      <c r="K38" s="21">
        <f t="shared" si="10"/>
        <v>17400</v>
      </c>
      <c r="L38" s="21">
        <f t="shared" si="11"/>
        <v>1450</v>
      </c>
      <c r="M38" s="1"/>
      <c r="N38" s="1"/>
      <c r="O38" s="1"/>
      <c r="P38" s="1"/>
      <c r="Q38" s="1"/>
    </row>
    <row r="39" spans="5:17">
      <c r="E39" s="12"/>
      <c r="F39" s="12"/>
      <c r="G39" s="12" t="s">
        <v>57</v>
      </c>
      <c r="H39" s="21">
        <f t="shared" si="12"/>
        <v>0</v>
      </c>
      <c r="I39" s="21">
        <v>0</v>
      </c>
      <c r="J39" s="21">
        <f t="shared" si="9"/>
        <v>0</v>
      </c>
      <c r="K39" s="21">
        <f t="shared" si="10"/>
        <v>0</v>
      </c>
      <c r="L39" s="21">
        <f t="shared" si="11"/>
        <v>0</v>
      </c>
      <c r="M39" s="1"/>
      <c r="N39" s="1"/>
      <c r="O39" s="1"/>
      <c r="P39" s="1"/>
      <c r="Q39" s="1"/>
    </row>
    <row r="40" spans="5:17">
      <c r="E40" s="12"/>
      <c r="F40" s="12"/>
      <c r="G40" s="12"/>
      <c r="H40" s="12"/>
      <c r="I40" s="29">
        <f>SUM(I35:I39)</f>
        <v>750000</v>
      </c>
      <c r="J40" s="12"/>
      <c r="K40" s="29">
        <f>SUM(K35:K39)</f>
        <v>294600</v>
      </c>
      <c r="L40" s="12">
        <f t="shared" si="11"/>
        <v>24550</v>
      </c>
    </row>
    <row r="51" spans="1:8" ht="18">
      <c r="C51" s="100" t="s">
        <v>48</v>
      </c>
      <c r="D51" s="100"/>
      <c r="E51" s="100"/>
      <c r="F51" s="100"/>
      <c r="G51" s="100"/>
      <c r="H51" s="100"/>
    </row>
    <row r="52" spans="1:8">
      <c r="A52" t="s">
        <v>77</v>
      </c>
      <c r="C52" t="s">
        <v>81</v>
      </c>
      <c r="D52" t="s">
        <v>82</v>
      </c>
      <c r="E52" t="s">
        <v>83</v>
      </c>
      <c r="F52" t="s">
        <v>84</v>
      </c>
      <c r="G52" t="s">
        <v>85</v>
      </c>
      <c r="H52" t="s">
        <v>41</v>
      </c>
    </row>
    <row r="53" spans="1:8">
      <c r="A53" t="s">
        <v>86</v>
      </c>
      <c r="B53">
        <v>0</v>
      </c>
      <c r="C53">
        <v>24</v>
      </c>
      <c r="D53">
        <v>24</v>
      </c>
      <c r="E53">
        <v>24</v>
      </c>
      <c r="F53">
        <v>24</v>
      </c>
      <c r="G53">
        <v>24</v>
      </c>
      <c r="H53" s="1">
        <f>SUM(B53:G53)</f>
        <v>120</v>
      </c>
    </row>
    <row r="54" spans="1:8">
      <c r="A54" t="s">
        <v>87</v>
      </c>
      <c r="B54" s="13" t="s">
        <v>88</v>
      </c>
      <c r="C54" s="9">
        <f>E6</f>
        <v>450000</v>
      </c>
      <c r="D54" s="8">
        <f>C54</f>
        <v>450000</v>
      </c>
      <c r="E54" s="8">
        <f>D54</f>
        <v>450000</v>
      </c>
      <c r="F54" s="8">
        <f>E54</f>
        <v>450000</v>
      </c>
      <c r="G54" s="8">
        <f>F54</f>
        <v>450000</v>
      </c>
      <c r="H54" s="1">
        <f t="shared" ref="H54:H55" si="13">SUM(B54:G54)</f>
        <v>2250000</v>
      </c>
    </row>
    <row r="55" spans="1:8">
      <c r="A55" t="s">
        <v>47</v>
      </c>
      <c r="C55" s="8">
        <f>C54*C53</f>
        <v>10800000</v>
      </c>
      <c r="D55" s="8">
        <f t="shared" ref="D55:G55" si="14">D54*D53</f>
        <v>10800000</v>
      </c>
      <c r="E55" s="8">
        <f t="shared" si="14"/>
        <v>10800000</v>
      </c>
      <c r="F55" s="8">
        <f t="shared" si="14"/>
        <v>10800000</v>
      </c>
      <c r="G55" s="8">
        <f t="shared" si="14"/>
        <v>10800000</v>
      </c>
      <c r="H55" s="1">
        <f t="shared" si="13"/>
        <v>54000000</v>
      </c>
    </row>
    <row r="56" spans="1:8">
      <c r="A56" s="4" t="s">
        <v>121</v>
      </c>
      <c r="C56" s="8"/>
      <c r="D56" s="8"/>
      <c r="E56" s="8"/>
      <c r="F56" s="8"/>
      <c r="G56" s="8"/>
      <c r="H56" s="7"/>
    </row>
    <row r="57" spans="1:8">
      <c r="A57" t="s">
        <v>78</v>
      </c>
      <c r="B57" t="s">
        <v>126</v>
      </c>
      <c r="C57" s="20">
        <f>8000*24*20*1.2</f>
        <v>4608000</v>
      </c>
      <c r="D57" s="20">
        <f t="shared" ref="D57:G64" si="15">C57</f>
        <v>4608000</v>
      </c>
      <c r="E57" s="20">
        <f t="shared" si="15"/>
        <v>4608000</v>
      </c>
      <c r="F57" s="20">
        <f t="shared" si="15"/>
        <v>4608000</v>
      </c>
      <c r="G57" s="20">
        <f t="shared" si="15"/>
        <v>4608000</v>
      </c>
      <c r="H57" s="24">
        <f t="shared" ref="H57:H64" si="16">SUM(B57:G57)</f>
        <v>23040000</v>
      </c>
    </row>
    <row r="58" spans="1:8">
      <c r="A58" t="s">
        <v>2</v>
      </c>
      <c r="B58" t="s">
        <v>112</v>
      </c>
      <c r="C58" s="20">
        <f>60000*24</f>
        <v>1440000</v>
      </c>
      <c r="D58" s="20">
        <f t="shared" si="15"/>
        <v>1440000</v>
      </c>
      <c r="E58" s="8">
        <f t="shared" si="15"/>
        <v>1440000</v>
      </c>
      <c r="F58" s="8">
        <f t="shared" si="15"/>
        <v>1440000</v>
      </c>
      <c r="G58" s="8">
        <f t="shared" si="15"/>
        <v>1440000</v>
      </c>
      <c r="H58" s="1">
        <f t="shared" si="16"/>
        <v>7200000</v>
      </c>
    </row>
    <row r="59" spans="1:8">
      <c r="A59" t="s">
        <v>80</v>
      </c>
      <c r="B59" t="s">
        <v>160</v>
      </c>
      <c r="C59" s="23">
        <f>Q12</f>
        <v>360000</v>
      </c>
      <c r="D59" s="8">
        <f t="shared" si="15"/>
        <v>360000</v>
      </c>
      <c r="E59" s="8">
        <f t="shared" si="15"/>
        <v>360000</v>
      </c>
      <c r="F59" s="8">
        <f t="shared" si="15"/>
        <v>360000</v>
      </c>
      <c r="G59" s="8">
        <f t="shared" si="15"/>
        <v>360000</v>
      </c>
      <c r="H59" s="1">
        <f t="shared" si="16"/>
        <v>1800000</v>
      </c>
    </row>
    <row r="60" spans="1:8">
      <c r="A60" t="s">
        <v>39</v>
      </c>
      <c r="B60" t="s">
        <v>111</v>
      </c>
      <c r="C60" s="20">
        <f>9*3500*24</f>
        <v>756000</v>
      </c>
      <c r="D60" s="8">
        <f t="shared" si="15"/>
        <v>756000</v>
      </c>
      <c r="E60" s="8">
        <f t="shared" si="15"/>
        <v>756000</v>
      </c>
      <c r="F60" s="8">
        <f>E60</f>
        <v>756000</v>
      </c>
      <c r="G60" s="8">
        <f t="shared" si="15"/>
        <v>756000</v>
      </c>
      <c r="H60" s="1">
        <f t="shared" si="16"/>
        <v>3780000</v>
      </c>
    </row>
    <row r="61" spans="1:8">
      <c r="A61" t="s">
        <v>43</v>
      </c>
      <c r="B61" t="s">
        <v>118</v>
      </c>
      <c r="C61" s="23">
        <f>100000*24</f>
        <v>2400000</v>
      </c>
      <c r="D61" s="8">
        <f t="shared" si="15"/>
        <v>2400000</v>
      </c>
      <c r="E61" s="8">
        <f t="shared" si="15"/>
        <v>2400000</v>
      </c>
      <c r="F61" s="8">
        <f t="shared" si="15"/>
        <v>2400000</v>
      </c>
      <c r="G61" s="8">
        <f t="shared" si="15"/>
        <v>2400000</v>
      </c>
      <c r="H61" s="1">
        <f t="shared" si="16"/>
        <v>12000000</v>
      </c>
    </row>
    <row r="62" spans="1:8">
      <c r="A62" t="s">
        <v>89</v>
      </c>
      <c r="B62" t="s">
        <v>114</v>
      </c>
      <c r="C62" s="20">
        <f>15000*12</f>
        <v>180000</v>
      </c>
      <c r="D62" s="8">
        <f t="shared" si="15"/>
        <v>180000</v>
      </c>
      <c r="E62" s="8">
        <f t="shared" si="15"/>
        <v>180000</v>
      </c>
      <c r="F62" s="8">
        <f t="shared" si="15"/>
        <v>180000</v>
      </c>
      <c r="G62" s="8">
        <f t="shared" si="15"/>
        <v>180000</v>
      </c>
      <c r="H62" s="1">
        <f t="shared" si="16"/>
        <v>900000</v>
      </c>
    </row>
    <row r="63" spans="1:8">
      <c r="A63" t="s">
        <v>122</v>
      </c>
      <c r="B63" t="s">
        <v>90</v>
      </c>
      <c r="C63" s="20">
        <f>Q16</f>
        <v>8500.0079999999998</v>
      </c>
      <c r="D63" s="8">
        <f t="shared" si="15"/>
        <v>8500.0079999999998</v>
      </c>
      <c r="E63" s="8">
        <f t="shared" si="15"/>
        <v>8500.0079999999998</v>
      </c>
      <c r="F63" s="8">
        <f t="shared" si="15"/>
        <v>8500.0079999999998</v>
      </c>
      <c r="G63" s="8">
        <f t="shared" si="15"/>
        <v>8500.0079999999998</v>
      </c>
      <c r="H63" s="1">
        <f t="shared" si="16"/>
        <v>42500.04</v>
      </c>
    </row>
    <row r="64" spans="1:8">
      <c r="A64" t="s">
        <v>123</v>
      </c>
      <c r="B64" t="s">
        <v>143</v>
      </c>
      <c r="C64" s="20">
        <f>1250*24</f>
        <v>30000</v>
      </c>
      <c r="D64" s="8">
        <f t="shared" si="15"/>
        <v>30000</v>
      </c>
      <c r="E64" s="8">
        <f t="shared" si="15"/>
        <v>30000</v>
      </c>
      <c r="F64" s="8">
        <v>0</v>
      </c>
      <c r="G64" s="8">
        <f>E74</f>
        <v>0</v>
      </c>
      <c r="H64" s="1">
        <f t="shared" si="16"/>
        <v>90000</v>
      </c>
    </row>
    <row r="65" spans="1:8">
      <c r="A65" t="s">
        <v>131</v>
      </c>
      <c r="C65" s="9">
        <f>K35</f>
        <v>130800</v>
      </c>
      <c r="D65" s="9">
        <f>K36</f>
        <v>92400</v>
      </c>
      <c r="E65" s="9">
        <f>K37</f>
        <v>54000</v>
      </c>
      <c r="F65" s="9">
        <f>K38</f>
        <v>17400</v>
      </c>
      <c r="G65" s="29">
        <f>K39</f>
        <v>0</v>
      </c>
      <c r="H65" s="21">
        <f>SUM(B65:F65)</f>
        <v>294600</v>
      </c>
    </row>
    <row r="66" spans="1:8">
      <c r="A66" s="4" t="s">
        <v>29</v>
      </c>
      <c r="B66" s="4"/>
      <c r="C66" s="8">
        <f t="shared" ref="C66:H66" si="17">SUM(C57:C65)</f>
        <v>9913300.0079999994</v>
      </c>
      <c r="D66" s="8">
        <f t="shared" si="17"/>
        <v>9874900.0079999994</v>
      </c>
      <c r="E66" s="8">
        <f>SUM(E57:E65)</f>
        <v>9836500.0079999994</v>
      </c>
      <c r="F66" s="8">
        <f>SUM(F57:F65)</f>
        <v>9769900.0079999994</v>
      </c>
      <c r="G66" s="8">
        <f t="shared" si="17"/>
        <v>9752500.0079999994</v>
      </c>
      <c r="H66" s="7">
        <f t="shared" si="17"/>
        <v>49147100.039999999</v>
      </c>
    </row>
    <row r="67" spans="1:8">
      <c r="A67" s="4" t="s">
        <v>32</v>
      </c>
      <c r="B67" s="4"/>
      <c r="C67" s="20">
        <f t="shared" ref="C67:H67" si="18">C55-C66</f>
        <v>886699.99200000055</v>
      </c>
      <c r="D67" s="20">
        <f t="shared" si="18"/>
        <v>925099.99200000055</v>
      </c>
      <c r="E67" s="20">
        <f t="shared" si="18"/>
        <v>963499.99200000055</v>
      </c>
      <c r="F67" s="20">
        <f t="shared" si="18"/>
        <v>1030099.9920000006</v>
      </c>
      <c r="G67" s="20">
        <f t="shared" si="18"/>
        <v>1047499.9920000006</v>
      </c>
      <c r="H67" s="20">
        <f t="shared" si="18"/>
        <v>4852899.9600000009</v>
      </c>
    </row>
    <row r="68" spans="1:8">
      <c r="A68" t="s">
        <v>148</v>
      </c>
      <c r="C68" s="8">
        <f>C67*0.3</f>
        <v>266009.99760000018</v>
      </c>
      <c r="D68" s="8">
        <f t="shared" ref="D68:H68" si="19">D67*0.3</f>
        <v>277529.99760000018</v>
      </c>
      <c r="E68" s="8">
        <f t="shared" si="19"/>
        <v>289049.99760000018</v>
      </c>
      <c r="F68" s="8">
        <f t="shared" si="19"/>
        <v>309029.99760000018</v>
      </c>
      <c r="G68" s="8">
        <f t="shared" si="19"/>
        <v>314249.99760000018</v>
      </c>
      <c r="H68" s="8">
        <f t="shared" si="19"/>
        <v>1455869.9880000001</v>
      </c>
    </row>
    <row r="69" spans="1:8">
      <c r="A69" s="4" t="s">
        <v>44</v>
      </c>
      <c r="C69" s="18">
        <f>C67-C68</f>
        <v>620689.99440000043</v>
      </c>
      <c r="D69" s="18">
        <f t="shared" ref="D69:H69" si="20">D67-D68</f>
        <v>647569.99440000043</v>
      </c>
      <c r="E69" s="18">
        <f t="shared" si="20"/>
        <v>674449.99440000043</v>
      </c>
      <c r="F69" s="18">
        <f t="shared" si="20"/>
        <v>721069.99440000043</v>
      </c>
      <c r="G69" s="18">
        <f t="shared" si="20"/>
        <v>733249.99440000043</v>
      </c>
      <c r="H69" s="18">
        <f t="shared" si="20"/>
        <v>3397029.972000001</v>
      </c>
    </row>
    <row r="70" spans="1:8">
      <c r="C70" s="8"/>
      <c r="D70" s="8"/>
      <c r="E70" s="8"/>
      <c r="F70" s="8"/>
      <c r="G70" s="8"/>
      <c r="H70" s="7"/>
    </row>
    <row r="71" spans="1:8">
      <c r="A71" s="4"/>
      <c r="C71" s="8"/>
      <c r="D71" s="8"/>
      <c r="E71" s="8"/>
      <c r="F71" s="8"/>
      <c r="G71" s="8"/>
      <c r="H71" s="7"/>
    </row>
    <row r="72" spans="1:8">
      <c r="A72" s="4"/>
      <c r="B72" s="4" t="s">
        <v>149</v>
      </c>
      <c r="C72" s="19" t="s">
        <v>150</v>
      </c>
      <c r="E72">
        <f>345.167*12</f>
        <v>4142.0039999999999</v>
      </c>
      <c r="H72" s="1"/>
    </row>
    <row r="73" spans="1:8">
      <c r="A73" s="4"/>
      <c r="B73" t="s">
        <v>151</v>
      </c>
      <c r="C73" s="30" t="e">
        <f>C69/(#REF!+#REF!)*100</f>
        <v>#REF!</v>
      </c>
      <c r="H73" s="1"/>
    </row>
    <row r="74" spans="1:8">
      <c r="B74" t="s">
        <v>63</v>
      </c>
      <c r="C74" s="10">
        <f>C55</f>
        <v>10800000</v>
      </c>
      <c r="H74" s="1"/>
    </row>
    <row r="75" spans="1:8">
      <c r="B75" t="s">
        <v>64</v>
      </c>
      <c r="C75" s="10">
        <f>C54</f>
        <v>450000</v>
      </c>
      <c r="H75" s="1"/>
    </row>
    <row r="76" spans="1:8">
      <c r="B76" t="s">
        <v>65</v>
      </c>
      <c r="C76" s="10">
        <f>C66/C53</f>
        <v>413054.16699999996</v>
      </c>
      <c r="H76" s="1"/>
    </row>
    <row r="77" spans="1:8">
      <c r="B77" t="s">
        <v>67</v>
      </c>
      <c r="C77" s="10">
        <f>SUM(C57:C60)/C53</f>
        <v>298500</v>
      </c>
      <c r="H77" s="1"/>
    </row>
    <row r="78" spans="1:8">
      <c r="B78" t="s">
        <v>66</v>
      </c>
      <c r="C78" s="10">
        <f>SUM(C61:C65)/C53</f>
        <v>114554.167</v>
      </c>
      <c r="D78" s="10"/>
      <c r="E78" s="10"/>
      <c r="F78" s="10"/>
      <c r="G78" s="10"/>
      <c r="H78" s="10"/>
    </row>
    <row r="79" spans="1:8">
      <c r="B79" s="11" t="s">
        <v>68</v>
      </c>
      <c r="C79" s="31">
        <f>(C75-C76)/C76*100</f>
        <v>8.9445491540096356</v>
      </c>
    </row>
    <row r="80" spans="1:8">
      <c r="B80" t="s">
        <v>69</v>
      </c>
      <c r="C80" s="17">
        <f>(C75-C77)/C77*100</f>
        <v>50.753768844221106</v>
      </c>
    </row>
    <row r="81" spans="2:4">
      <c r="B81" s="28" t="s">
        <v>70</v>
      </c>
      <c r="C81">
        <v>24</v>
      </c>
    </row>
    <row r="82" spans="2:4">
      <c r="B82" s="28" t="s">
        <v>71</v>
      </c>
      <c r="C82" s="10">
        <f>C57/C53</f>
        <v>192000</v>
      </c>
    </row>
    <row r="83" spans="2:4">
      <c r="B83" s="28" t="s">
        <v>72</v>
      </c>
      <c r="C83" s="21" t="e">
        <f>(C59+C60+#REF!/1000)/24</f>
        <v>#REF!</v>
      </c>
      <c r="D83" s="10"/>
    </row>
    <row r="84" spans="2:4">
      <c r="B84" s="28" t="s">
        <v>73</v>
      </c>
      <c r="C84" s="10">
        <f>C58/C53</f>
        <v>60000</v>
      </c>
    </row>
    <row r="85" spans="2:4">
      <c r="B85" s="28" t="s">
        <v>74</v>
      </c>
      <c r="C85">
        <f>C74/C84</f>
        <v>180</v>
      </c>
    </row>
  </sheetData>
  <mergeCells count="1">
    <mergeCell ref="C51:H51"/>
  </mergeCells>
  <phoneticPr fontId="8" type="noConversion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1"/>
  <sheetViews>
    <sheetView topLeftCell="A62" workbookViewId="0">
      <selection activeCell="G83" sqref="G83"/>
    </sheetView>
  </sheetViews>
  <sheetFormatPr baseColWidth="10" defaultColWidth="8.83203125" defaultRowHeight="14" x14ac:dyDescent="0"/>
  <cols>
    <col min="1" max="1" width="29" customWidth="1"/>
    <col min="2" max="2" width="23.5" customWidth="1"/>
    <col min="3" max="3" width="12.1640625" customWidth="1"/>
    <col min="4" max="4" width="12.5" customWidth="1"/>
    <col min="5" max="5" width="13.83203125" customWidth="1"/>
    <col min="6" max="7" width="12.33203125" customWidth="1"/>
    <col min="8" max="9" width="11.5" customWidth="1"/>
    <col min="10" max="10" width="12" customWidth="1"/>
    <col min="11" max="11" width="11.5" customWidth="1"/>
    <col min="12" max="12" width="11.1640625" customWidth="1"/>
    <col min="13" max="13" width="11" customWidth="1"/>
    <col min="14" max="14" width="12.1640625" customWidth="1"/>
    <col min="15" max="15" width="12.33203125" customWidth="1"/>
    <col min="16" max="16" width="12.1640625" customWidth="1"/>
    <col min="17" max="17" width="12.6640625" customWidth="1"/>
  </cols>
  <sheetData>
    <row r="1" spans="1:17">
      <c r="A1" t="s">
        <v>4</v>
      </c>
      <c r="E1" t="s">
        <v>132</v>
      </c>
    </row>
    <row r="3" spans="1:17">
      <c r="A3" t="s">
        <v>127</v>
      </c>
      <c r="B3" t="s">
        <v>128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41</v>
      </c>
    </row>
    <row r="4" spans="1:17">
      <c r="A4" t="s">
        <v>17</v>
      </c>
      <c r="E4" s="1">
        <v>2</v>
      </c>
      <c r="F4" s="1">
        <v>2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2</v>
      </c>
      <c r="M4" s="1">
        <v>2</v>
      </c>
      <c r="N4" s="1">
        <v>2</v>
      </c>
      <c r="O4" s="1">
        <v>2</v>
      </c>
      <c r="P4" s="1">
        <v>2</v>
      </c>
      <c r="Q4" s="1">
        <f>SUM(E4:P4)</f>
        <v>24</v>
      </c>
    </row>
    <row r="5" spans="1:17">
      <c r="A5" t="s">
        <v>18</v>
      </c>
      <c r="E5" s="1"/>
      <c r="F5" s="1">
        <v>4</v>
      </c>
      <c r="G5" s="1"/>
      <c r="H5" s="1">
        <v>4</v>
      </c>
      <c r="I5" s="1"/>
      <c r="J5" s="1">
        <v>4</v>
      </c>
      <c r="K5" s="1"/>
      <c r="L5" s="1">
        <v>4</v>
      </c>
      <c r="M5" s="1"/>
      <c r="N5" s="1">
        <v>4</v>
      </c>
      <c r="O5" s="1"/>
      <c r="P5" s="1">
        <v>4</v>
      </c>
      <c r="Q5" s="1">
        <f>SUM(E5:P5)</f>
        <v>24</v>
      </c>
    </row>
    <row r="6" spans="1:17">
      <c r="A6" t="s">
        <v>119</v>
      </c>
      <c r="E6" s="1"/>
      <c r="F6" s="21">
        <f>'Model  incomes statements '!C54</f>
        <v>450000</v>
      </c>
      <c r="G6" s="1"/>
      <c r="H6" s="1">
        <f>F6</f>
        <v>450000</v>
      </c>
      <c r="I6" s="1"/>
      <c r="J6" s="1">
        <f>H6</f>
        <v>450000</v>
      </c>
      <c r="K6" s="1"/>
      <c r="L6" s="1">
        <f>J6</f>
        <v>450000</v>
      </c>
      <c r="M6" s="1"/>
      <c r="N6" s="1">
        <f>L6</f>
        <v>450000</v>
      </c>
      <c r="O6" s="1"/>
      <c r="P6" s="1">
        <f>N6</f>
        <v>450000</v>
      </c>
      <c r="Q6" s="1"/>
    </row>
    <row r="7" spans="1:17">
      <c r="A7" t="s">
        <v>133</v>
      </c>
      <c r="B7" s="15"/>
      <c r="C7" s="15"/>
      <c r="D7" s="15"/>
      <c r="E7" s="7">
        <f>E4*E6</f>
        <v>0</v>
      </c>
      <c r="G7" s="1"/>
      <c r="H7" s="32">
        <v>1800000</v>
      </c>
      <c r="J7" s="21">
        <v>1800000</v>
      </c>
      <c r="K7" s="33"/>
      <c r="L7" s="21">
        <v>1800000</v>
      </c>
      <c r="M7" s="33"/>
      <c r="N7" s="21">
        <v>1800000</v>
      </c>
      <c r="O7" s="33"/>
      <c r="P7" s="21">
        <v>1800000</v>
      </c>
      <c r="Q7" s="32">
        <f>SUM(E7:P7)</f>
        <v>9000000</v>
      </c>
    </row>
    <row r="8" spans="1:17">
      <c r="A8" t="s">
        <v>1</v>
      </c>
      <c r="E8" s="2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ref="Q8:Q24" si="0">SUM(E8:P8)</f>
        <v>0</v>
      </c>
    </row>
    <row r="9" spans="1:17">
      <c r="A9" t="s">
        <v>134</v>
      </c>
      <c r="E9" s="2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f t="shared" si="0"/>
        <v>0</v>
      </c>
    </row>
    <row r="10" spans="1:17">
      <c r="A10" s="14" t="s">
        <v>135</v>
      </c>
      <c r="B10" s="14"/>
      <c r="C10" s="14"/>
      <c r="D10" s="14"/>
      <c r="E10" s="3">
        <f>SUM(E7:E9)</f>
        <v>0</v>
      </c>
      <c r="F10" s="3">
        <f t="shared" ref="F10:Q10" si="1">SUM(F7:F9)</f>
        <v>0</v>
      </c>
      <c r="G10" s="3">
        <f t="shared" si="1"/>
        <v>0</v>
      </c>
      <c r="H10" s="3">
        <f>SUM(H7:H9)</f>
        <v>1800000</v>
      </c>
      <c r="I10" s="3">
        <f t="shared" si="1"/>
        <v>0</v>
      </c>
      <c r="J10" s="3">
        <f t="shared" si="1"/>
        <v>1800000</v>
      </c>
      <c r="K10" s="3">
        <f t="shared" si="1"/>
        <v>0</v>
      </c>
      <c r="L10" s="3">
        <f t="shared" si="1"/>
        <v>1800000</v>
      </c>
      <c r="M10" s="3">
        <f t="shared" si="1"/>
        <v>0</v>
      </c>
      <c r="N10" s="3">
        <f t="shared" si="1"/>
        <v>1800000</v>
      </c>
      <c r="O10" s="3">
        <f t="shared" si="1"/>
        <v>0</v>
      </c>
      <c r="P10" s="3">
        <f t="shared" si="1"/>
        <v>1800000</v>
      </c>
      <c r="Q10" s="3">
        <f t="shared" si="1"/>
        <v>9000000</v>
      </c>
    </row>
    <row r="11" spans="1:17">
      <c r="A11" t="s">
        <v>136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t="s">
        <v>144</v>
      </c>
      <c r="E12" s="21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f t="shared" si="0"/>
        <v>0</v>
      </c>
    </row>
    <row r="13" spans="1:17">
      <c r="A13" t="s">
        <v>145</v>
      </c>
      <c r="E13" s="21">
        <v>170000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f t="shared" si="0"/>
        <v>170000</v>
      </c>
    </row>
    <row r="14" spans="1:17">
      <c r="A14" t="s">
        <v>79</v>
      </c>
      <c r="D14" s="16"/>
      <c r="E14" s="1" t="e">
        <f>#REF!</f>
        <v>#REF!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 t="e">
        <f t="shared" si="0"/>
        <v>#REF!</v>
      </c>
    </row>
    <row r="15" spans="1:17">
      <c r="A15" t="s">
        <v>78</v>
      </c>
      <c r="B15" t="s">
        <v>126</v>
      </c>
      <c r="F15" s="1" t="e">
        <f>#REF!*2/1000</f>
        <v>#REF!</v>
      </c>
      <c r="G15" s="1" t="e">
        <f>F15</f>
        <v>#REF!</v>
      </c>
      <c r="H15" s="1" t="e">
        <f t="shared" ref="H15:P15" si="2">G15</f>
        <v>#REF!</v>
      </c>
      <c r="I15" s="1" t="e">
        <f>H15</f>
        <v>#REF!</v>
      </c>
      <c r="J15" s="1" t="e">
        <f t="shared" si="2"/>
        <v>#REF!</v>
      </c>
      <c r="K15" s="1" t="e">
        <f t="shared" si="2"/>
        <v>#REF!</v>
      </c>
      <c r="L15" s="1" t="e">
        <f t="shared" si="2"/>
        <v>#REF!</v>
      </c>
      <c r="M15" s="1" t="e">
        <f t="shared" si="2"/>
        <v>#REF!</v>
      </c>
      <c r="N15" s="1" t="e">
        <f t="shared" si="2"/>
        <v>#REF!</v>
      </c>
      <c r="O15" s="1" t="e">
        <f t="shared" si="2"/>
        <v>#REF!</v>
      </c>
      <c r="P15" s="1" t="e">
        <f t="shared" si="2"/>
        <v>#REF!</v>
      </c>
      <c r="Q15" s="1" t="e">
        <f>SUM(E15:P15)</f>
        <v>#REF!</v>
      </c>
    </row>
    <row r="16" spans="1:17">
      <c r="A16" t="s">
        <v>2</v>
      </c>
      <c r="B16" t="s">
        <v>112</v>
      </c>
      <c r="E16" s="1" t="e">
        <f>#REF!*2/1000</f>
        <v>#REF!</v>
      </c>
      <c r="F16" s="1" t="e">
        <f t="shared" ref="F16:P21" si="3">E16</f>
        <v>#REF!</v>
      </c>
      <c r="G16" s="1" t="e">
        <f t="shared" si="3"/>
        <v>#REF!</v>
      </c>
      <c r="H16" s="1" t="e">
        <f t="shared" si="3"/>
        <v>#REF!</v>
      </c>
      <c r="I16" s="1" t="e">
        <f t="shared" si="3"/>
        <v>#REF!</v>
      </c>
      <c r="J16" s="1" t="e">
        <f t="shared" si="3"/>
        <v>#REF!</v>
      </c>
      <c r="K16" s="1" t="e">
        <f t="shared" si="3"/>
        <v>#REF!</v>
      </c>
      <c r="L16" s="1" t="e">
        <f t="shared" si="3"/>
        <v>#REF!</v>
      </c>
      <c r="M16" s="1" t="e">
        <f t="shared" si="3"/>
        <v>#REF!</v>
      </c>
      <c r="N16" s="1" t="e">
        <f t="shared" si="3"/>
        <v>#REF!</v>
      </c>
      <c r="O16" s="1" t="e">
        <f t="shared" si="3"/>
        <v>#REF!</v>
      </c>
      <c r="P16" s="1" t="e">
        <f t="shared" si="3"/>
        <v>#REF!</v>
      </c>
      <c r="Q16" s="1" t="e">
        <f t="shared" si="0"/>
        <v>#REF!</v>
      </c>
    </row>
    <row r="17" spans="1:17">
      <c r="A17" t="s">
        <v>80</v>
      </c>
      <c r="B17" t="s">
        <v>160</v>
      </c>
      <c r="E17" s="21">
        <f>'Model  incomes statements '!E12</f>
        <v>30000</v>
      </c>
      <c r="F17" s="1">
        <f t="shared" si="3"/>
        <v>30000</v>
      </c>
      <c r="G17" s="1">
        <f t="shared" si="3"/>
        <v>30000</v>
      </c>
      <c r="H17" s="1">
        <f t="shared" si="3"/>
        <v>30000</v>
      </c>
      <c r="I17" s="1">
        <f t="shared" si="3"/>
        <v>30000</v>
      </c>
      <c r="J17" s="1">
        <f t="shared" si="3"/>
        <v>30000</v>
      </c>
      <c r="K17" s="1">
        <f t="shared" si="3"/>
        <v>30000</v>
      </c>
      <c r="L17" s="1">
        <f t="shared" si="3"/>
        <v>30000</v>
      </c>
      <c r="M17" s="1">
        <f t="shared" si="3"/>
        <v>30000</v>
      </c>
      <c r="N17" s="1">
        <f t="shared" si="3"/>
        <v>30000</v>
      </c>
      <c r="O17" s="1">
        <f t="shared" si="3"/>
        <v>30000</v>
      </c>
      <c r="P17" s="1">
        <f t="shared" si="3"/>
        <v>30000</v>
      </c>
      <c r="Q17" s="1">
        <f t="shared" si="0"/>
        <v>360000</v>
      </c>
    </row>
    <row r="18" spans="1:17">
      <c r="A18" t="s">
        <v>39</v>
      </c>
      <c r="B18" t="s">
        <v>111</v>
      </c>
      <c r="F18" s="1" t="e">
        <f>#REF!*2/1000</f>
        <v>#REF!</v>
      </c>
      <c r="G18" s="1" t="e">
        <f>F18</f>
        <v>#REF!</v>
      </c>
      <c r="H18" s="1" t="e">
        <f t="shared" si="3"/>
        <v>#REF!</v>
      </c>
      <c r="I18" s="1" t="e">
        <f t="shared" si="3"/>
        <v>#REF!</v>
      </c>
      <c r="J18" s="1" t="e">
        <f t="shared" si="3"/>
        <v>#REF!</v>
      </c>
      <c r="K18" s="1" t="e">
        <f t="shared" si="3"/>
        <v>#REF!</v>
      </c>
      <c r="L18" s="1" t="e">
        <f t="shared" si="3"/>
        <v>#REF!</v>
      </c>
      <c r="M18" s="1" t="e">
        <f t="shared" si="3"/>
        <v>#REF!</v>
      </c>
      <c r="N18" s="1" t="e">
        <f t="shared" si="3"/>
        <v>#REF!</v>
      </c>
      <c r="O18" s="1" t="e">
        <f t="shared" si="3"/>
        <v>#REF!</v>
      </c>
      <c r="P18" s="1" t="e">
        <f t="shared" si="3"/>
        <v>#REF!</v>
      </c>
      <c r="Q18" s="1" t="e">
        <f>SUM(E18:P18)</f>
        <v>#REF!</v>
      </c>
    </row>
    <row r="19" spans="1:17">
      <c r="A19" t="s">
        <v>43</v>
      </c>
      <c r="B19" t="s">
        <v>118</v>
      </c>
      <c r="E19" s="1" t="e">
        <f>#REF!*2/1000</f>
        <v>#REF!</v>
      </c>
      <c r="F19" s="1" t="e">
        <f t="shared" si="3"/>
        <v>#REF!</v>
      </c>
      <c r="G19" s="1" t="e">
        <f t="shared" si="3"/>
        <v>#REF!</v>
      </c>
      <c r="H19" s="1" t="e">
        <f t="shared" si="3"/>
        <v>#REF!</v>
      </c>
      <c r="I19" s="1" t="e">
        <f t="shared" si="3"/>
        <v>#REF!</v>
      </c>
      <c r="J19" s="1" t="e">
        <f t="shared" si="3"/>
        <v>#REF!</v>
      </c>
      <c r="K19" s="1" t="e">
        <f t="shared" si="3"/>
        <v>#REF!</v>
      </c>
      <c r="L19" s="1" t="e">
        <f t="shared" si="3"/>
        <v>#REF!</v>
      </c>
      <c r="M19" s="1" t="e">
        <f t="shared" si="3"/>
        <v>#REF!</v>
      </c>
      <c r="N19" s="1" t="e">
        <f t="shared" si="3"/>
        <v>#REF!</v>
      </c>
      <c r="O19" s="1" t="e">
        <f t="shared" si="3"/>
        <v>#REF!</v>
      </c>
      <c r="P19" s="1" t="e">
        <f t="shared" si="3"/>
        <v>#REF!</v>
      </c>
      <c r="Q19" s="1" t="e">
        <f t="shared" si="0"/>
        <v>#REF!</v>
      </c>
    </row>
    <row r="20" spans="1:17">
      <c r="A20" t="s">
        <v>89</v>
      </c>
      <c r="B20" t="s">
        <v>114</v>
      </c>
      <c r="E20" s="1" t="e">
        <f>#REF!/1000</f>
        <v>#REF!</v>
      </c>
      <c r="F20" s="1" t="e">
        <f t="shared" si="3"/>
        <v>#REF!</v>
      </c>
      <c r="G20" s="1" t="e">
        <f t="shared" si="3"/>
        <v>#REF!</v>
      </c>
      <c r="H20" s="1" t="e">
        <f t="shared" si="3"/>
        <v>#REF!</v>
      </c>
      <c r="I20" s="1" t="e">
        <f t="shared" si="3"/>
        <v>#REF!</v>
      </c>
      <c r="J20" s="1" t="e">
        <f t="shared" si="3"/>
        <v>#REF!</v>
      </c>
      <c r="K20" s="1" t="e">
        <f t="shared" si="3"/>
        <v>#REF!</v>
      </c>
      <c r="L20" s="1" t="e">
        <f t="shared" si="3"/>
        <v>#REF!</v>
      </c>
      <c r="M20" s="1" t="e">
        <f t="shared" si="3"/>
        <v>#REF!</v>
      </c>
      <c r="N20" s="1" t="e">
        <f t="shared" si="3"/>
        <v>#REF!</v>
      </c>
      <c r="O20" s="1" t="e">
        <f t="shared" si="3"/>
        <v>#REF!</v>
      </c>
      <c r="P20" s="1" t="e">
        <f t="shared" si="3"/>
        <v>#REF!</v>
      </c>
      <c r="Q20" s="1" t="e">
        <f t="shared" si="0"/>
        <v>#REF!</v>
      </c>
    </row>
    <row r="21" spans="1:17">
      <c r="A21" t="s">
        <v>146</v>
      </c>
      <c r="B21" t="s">
        <v>147</v>
      </c>
      <c r="E21" s="21">
        <v>0</v>
      </c>
      <c r="F21" s="1">
        <f t="shared" si="3"/>
        <v>0</v>
      </c>
      <c r="G21" s="1">
        <f t="shared" si="3"/>
        <v>0</v>
      </c>
      <c r="H21" s="1">
        <f t="shared" si="3"/>
        <v>0</v>
      </c>
      <c r="I21" s="1">
        <f t="shared" si="3"/>
        <v>0</v>
      </c>
      <c r="J21" s="1">
        <f t="shared" si="3"/>
        <v>0</v>
      </c>
      <c r="K21" s="1">
        <f t="shared" si="3"/>
        <v>0</v>
      </c>
      <c r="L21" s="1">
        <f t="shared" si="3"/>
        <v>0</v>
      </c>
      <c r="M21" s="1">
        <f t="shared" si="3"/>
        <v>0</v>
      </c>
      <c r="N21" s="1">
        <f t="shared" si="3"/>
        <v>0</v>
      </c>
      <c r="O21" s="1">
        <f t="shared" si="3"/>
        <v>0</v>
      </c>
      <c r="P21" s="1">
        <f t="shared" si="3"/>
        <v>0</v>
      </c>
      <c r="Q21" s="1">
        <f t="shared" si="0"/>
        <v>0</v>
      </c>
    </row>
    <row r="22" spans="1:17">
      <c r="A22" t="s">
        <v>122</v>
      </c>
      <c r="B22" t="s">
        <v>91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f t="shared" si="0"/>
        <v>0</v>
      </c>
    </row>
    <row r="23" spans="1:17">
      <c r="A23" t="s">
        <v>123</v>
      </c>
      <c r="B23" t="s">
        <v>125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f t="shared" si="0"/>
        <v>0</v>
      </c>
    </row>
    <row r="24" spans="1:17">
      <c r="A24" t="s">
        <v>153</v>
      </c>
      <c r="E24" s="21">
        <f>L39</f>
        <v>26900</v>
      </c>
      <c r="F24" s="21">
        <f>E24</f>
        <v>26900</v>
      </c>
      <c r="G24" s="21">
        <f t="shared" ref="G24:P24" si="4">F24</f>
        <v>26900</v>
      </c>
      <c r="H24" s="21">
        <f t="shared" si="4"/>
        <v>26900</v>
      </c>
      <c r="I24" s="21">
        <f t="shared" si="4"/>
        <v>26900</v>
      </c>
      <c r="J24" s="21">
        <f t="shared" si="4"/>
        <v>26900</v>
      </c>
      <c r="K24" s="21">
        <f t="shared" si="4"/>
        <v>26900</v>
      </c>
      <c r="L24" s="21">
        <f t="shared" si="4"/>
        <v>26900</v>
      </c>
      <c r="M24" s="21">
        <f t="shared" si="4"/>
        <v>26900</v>
      </c>
      <c r="N24" s="21">
        <f t="shared" si="4"/>
        <v>26900</v>
      </c>
      <c r="O24" s="21">
        <f t="shared" si="4"/>
        <v>26900</v>
      </c>
      <c r="P24" s="21">
        <f t="shared" si="4"/>
        <v>26900</v>
      </c>
      <c r="Q24" s="1">
        <f t="shared" si="0"/>
        <v>322800</v>
      </c>
    </row>
    <row r="25" spans="1:17">
      <c r="A25" s="4" t="s">
        <v>137</v>
      </c>
      <c r="B25" s="4"/>
      <c r="C25" s="4"/>
      <c r="D25" s="4"/>
      <c r="E25" s="2" t="e">
        <f>SUM(E12:E24)</f>
        <v>#REF!</v>
      </c>
      <c r="F25" s="2" t="e">
        <f t="shared" ref="F25:Q25" si="5">SUM(F12:F24)</f>
        <v>#REF!</v>
      </c>
      <c r="G25" s="2" t="e">
        <f t="shared" si="5"/>
        <v>#REF!</v>
      </c>
      <c r="H25" s="2" t="e">
        <f t="shared" si="5"/>
        <v>#REF!</v>
      </c>
      <c r="I25" s="2" t="e">
        <f t="shared" si="5"/>
        <v>#REF!</v>
      </c>
      <c r="J25" s="2" t="e">
        <f t="shared" si="5"/>
        <v>#REF!</v>
      </c>
      <c r="K25" s="2" t="e">
        <f t="shared" si="5"/>
        <v>#REF!</v>
      </c>
      <c r="L25" s="2" t="e">
        <f t="shared" si="5"/>
        <v>#REF!</v>
      </c>
      <c r="M25" s="2" t="e">
        <f t="shared" si="5"/>
        <v>#REF!</v>
      </c>
      <c r="N25" s="2" t="e">
        <f t="shared" si="5"/>
        <v>#REF!</v>
      </c>
      <c r="O25" s="2" t="e">
        <f t="shared" si="5"/>
        <v>#REF!</v>
      </c>
      <c r="P25" s="2" t="e">
        <f t="shared" si="5"/>
        <v>#REF!</v>
      </c>
      <c r="Q25" s="2" t="e">
        <f t="shared" si="5"/>
        <v>#REF!</v>
      </c>
    </row>
    <row r="26" spans="1:17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4" t="s">
        <v>138</v>
      </c>
      <c r="B27" s="4"/>
      <c r="C27" s="4"/>
      <c r="D27" s="4"/>
      <c r="E27" s="2" t="e">
        <f t="shared" ref="E27:O27" si="6">E10-E25</f>
        <v>#REF!</v>
      </c>
      <c r="F27" s="2" t="e">
        <f t="shared" si="6"/>
        <v>#REF!</v>
      </c>
      <c r="G27" s="2" t="e">
        <f t="shared" si="6"/>
        <v>#REF!</v>
      </c>
      <c r="H27" s="2" t="e">
        <f t="shared" si="6"/>
        <v>#REF!</v>
      </c>
      <c r="I27" s="2" t="e">
        <f t="shared" si="6"/>
        <v>#REF!</v>
      </c>
      <c r="J27" s="2" t="e">
        <f t="shared" si="6"/>
        <v>#REF!</v>
      </c>
      <c r="K27" s="2" t="e">
        <f t="shared" si="6"/>
        <v>#REF!</v>
      </c>
      <c r="L27" s="2" t="e">
        <f t="shared" si="6"/>
        <v>#REF!</v>
      </c>
      <c r="M27" s="2" t="e">
        <f t="shared" si="6"/>
        <v>#REF!</v>
      </c>
      <c r="N27" s="2" t="e">
        <f t="shared" si="6"/>
        <v>#REF!</v>
      </c>
      <c r="O27" s="2" t="e">
        <f t="shared" si="6"/>
        <v>#REF!</v>
      </c>
      <c r="P27" s="2" t="e">
        <f t="shared" ref="P27:Q27" si="7">P10-P25</f>
        <v>#REF!</v>
      </c>
      <c r="Q27" s="2" t="e">
        <f t="shared" si="7"/>
        <v>#REF!</v>
      </c>
    </row>
    <row r="28" spans="1:17">
      <c r="A28" t="s">
        <v>139</v>
      </c>
      <c r="D28" s="22">
        <v>-999000</v>
      </c>
      <c r="E28" s="1">
        <f>D28</f>
        <v>-999000</v>
      </c>
      <c r="F28" s="1" t="e">
        <f t="shared" ref="F28:P28" si="8">E29</f>
        <v>#REF!</v>
      </c>
      <c r="G28" s="1" t="e">
        <f t="shared" si="8"/>
        <v>#REF!</v>
      </c>
      <c r="H28" s="1" t="e">
        <f t="shared" si="8"/>
        <v>#REF!</v>
      </c>
      <c r="I28" s="1" t="e">
        <f t="shared" si="8"/>
        <v>#REF!</v>
      </c>
      <c r="J28" s="1" t="e">
        <f t="shared" si="8"/>
        <v>#REF!</v>
      </c>
      <c r="K28" s="1" t="e">
        <f t="shared" si="8"/>
        <v>#REF!</v>
      </c>
      <c r="L28" s="1" t="e">
        <f t="shared" si="8"/>
        <v>#REF!</v>
      </c>
      <c r="M28" s="1" t="e">
        <f t="shared" si="8"/>
        <v>#REF!</v>
      </c>
      <c r="N28" s="1" t="e">
        <f t="shared" si="8"/>
        <v>#REF!</v>
      </c>
      <c r="O28" s="1" t="e">
        <f t="shared" si="8"/>
        <v>#REF!</v>
      </c>
      <c r="P28" s="1" t="e">
        <f t="shared" si="8"/>
        <v>#REF!</v>
      </c>
      <c r="Q28" s="1">
        <f>E28</f>
        <v>-999000</v>
      </c>
    </row>
    <row r="29" spans="1:17">
      <c r="A29" s="4" t="s">
        <v>140</v>
      </c>
      <c r="E29" s="26" t="e">
        <f>E27+E28</f>
        <v>#REF!</v>
      </c>
      <c r="F29" s="26" t="e">
        <f t="shared" ref="F29:P29" si="9">F27+F28</f>
        <v>#REF!</v>
      </c>
      <c r="G29" s="26" t="e">
        <f t="shared" si="9"/>
        <v>#REF!</v>
      </c>
      <c r="H29" s="26" t="e">
        <f t="shared" si="9"/>
        <v>#REF!</v>
      </c>
      <c r="I29" s="26" t="e">
        <f t="shared" si="9"/>
        <v>#REF!</v>
      </c>
      <c r="J29" s="26" t="e">
        <f t="shared" si="9"/>
        <v>#REF!</v>
      </c>
      <c r="K29" s="26" t="e">
        <f t="shared" si="9"/>
        <v>#REF!</v>
      </c>
      <c r="L29" s="26" t="e">
        <f t="shared" si="9"/>
        <v>#REF!</v>
      </c>
      <c r="M29" s="26" t="e">
        <f t="shared" si="9"/>
        <v>#REF!</v>
      </c>
      <c r="N29" s="26" t="e">
        <f t="shared" si="9"/>
        <v>#REF!</v>
      </c>
      <c r="O29" s="26" t="e">
        <f t="shared" si="9"/>
        <v>#REF!</v>
      </c>
      <c r="P29" s="26" t="e">
        <f t="shared" si="9"/>
        <v>#REF!</v>
      </c>
      <c r="Q29" s="26" t="e">
        <f>SUM(Q27:Q28)</f>
        <v>#REF!</v>
      </c>
    </row>
    <row r="30" spans="1:17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D31" s="12"/>
      <c r="E31" s="1" t="s">
        <v>50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5" spans="4:12">
      <c r="D35" s="12"/>
      <c r="E35" s="12"/>
      <c r="F35" s="12"/>
      <c r="G35" s="12" t="s">
        <v>0</v>
      </c>
      <c r="H35" s="12"/>
      <c r="I35" s="12"/>
      <c r="J35" s="12"/>
      <c r="K35" s="12"/>
    </row>
    <row r="36" spans="4:12">
      <c r="D36" s="12" t="s">
        <v>51</v>
      </c>
      <c r="E36" s="27"/>
      <c r="F36" s="12"/>
      <c r="G36" s="27">
        <v>750000</v>
      </c>
      <c r="H36" s="12"/>
      <c r="I36" s="12"/>
      <c r="J36" s="12"/>
      <c r="K36" s="12"/>
    </row>
    <row r="37" spans="4:12">
      <c r="D37" s="12" t="s">
        <v>152</v>
      </c>
      <c r="E37" s="12"/>
      <c r="F37" s="12"/>
      <c r="G37" s="27">
        <v>16000</v>
      </c>
      <c r="H37" s="12"/>
      <c r="I37" s="12"/>
      <c r="J37" s="12"/>
      <c r="K37" s="12"/>
    </row>
    <row r="38" spans="4:12">
      <c r="D38" s="12" t="s">
        <v>52</v>
      </c>
      <c r="E38" s="12"/>
      <c r="F38" s="12" t="s">
        <v>77</v>
      </c>
      <c r="G38" s="12" t="s">
        <v>58</v>
      </c>
      <c r="H38" s="12" t="s">
        <v>59</v>
      </c>
      <c r="I38" s="12" t="s">
        <v>60</v>
      </c>
      <c r="J38" s="12" t="s">
        <v>62</v>
      </c>
      <c r="K38" s="12" t="s">
        <v>61</v>
      </c>
      <c r="L38" s="12" t="s">
        <v>154</v>
      </c>
    </row>
    <row r="39" spans="4:12">
      <c r="D39" s="12"/>
      <c r="E39" s="12"/>
      <c r="F39" s="12" t="s">
        <v>53</v>
      </c>
      <c r="G39" s="21">
        <v>750000</v>
      </c>
      <c r="H39" s="21">
        <v>192000</v>
      </c>
      <c r="I39" s="21">
        <f>G39-H39</f>
        <v>558000</v>
      </c>
      <c r="J39" s="21">
        <f>(G39+I39)/2*0.2</f>
        <v>130800</v>
      </c>
      <c r="K39" s="21">
        <f>J39/12</f>
        <v>10900</v>
      </c>
      <c r="L39" s="6">
        <f>(H39+J39)/12</f>
        <v>26900</v>
      </c>
    </row>
    <row r="40" spans="4:12">
      <c r="D40" s="12"/>
      <c r="E40" s="12"/>
      <c r="F40" s="12" t="s">
        <v>54</v>
      </c>
      <c r="G40" s="21">
        <f>I39</f>
        <v>558000</v>
      </c>
      <c r="H40" s="21">
        <f>H39</f>
        <v>192000</v>
      </c>
      <c r="I40" s="21">
        <f t="shared" ref="I40:I43" si="10">G40-H40</f>
        <v>366000</v>
      </c>
      <c r="J40" s="21">
        <f t="shared" ref="J40:J43" si="11">(G40+I40)/2*0.2</f>
        <v>92400</v>
      </c>
      <c r="K40" s="21">
        <f t="shared" ref="K40:K44" si="12">J40/12</f>
        <v>7700</v>
      </c>
    </row>
    <row r="41" spans="4:12">
      <c r="D41" s="12"/>
      <c r="E41" s="12"/>
      <c r="F41" s="12" t="s">
        <v>55</v>
      </c>
      <c r="G41" s="21">
        <f t="shared" ref="G41:G43" si="13">I40</f>
        <v>366000</v>
      </c>
      <c r="H41" s="21">
        <f>H40</f>
        <v>192000</v>
      </c>
      <c r="I41" s="21">
        <f t="shared" si="10"/>
        <v>174000</v>
      </c>
      <c r="J41" s="21">
        <f t="shared" si="11"/>
        <v>54000</v>
      </c>
      <c r="K41" s="21">
        <f t="shared" si="12"/>
        <v>4500</v>
      </c>
    </row>
    <row r="42" spans="4:12">
      <c r="D42" s="12"/>
      <c r="E42" s="12"/>
      <c r="F42" s="12" t="s">
        <v>56</v>
      </c>
      <c r="G42" s="21">
        <f t="shared" si="13"/>
        <v>174000</v>
      </c>
      <c r="H42" s="21">
        <v>174000</v>
      </c>
      <c r="I42" s="21">
        <f t="shared" si="10"/>
        <v>0</v>
      </c>
      <c r="J42" s="21">
        <f t="shared" si="11"/>
        <v>17400</v>
      </c>
      <c r="K42" s="21">
        <f t="shared" si="12"/>
        <v>1450</v>
      </c>
    </row>
    <row r="43" spans="4:12">
      <c r="D43" s="12"/>
      <c r="E43" s="12"/>
      <c r="F43" s="12" t="s">
        <v>57</v>
      </c>
      <c r="G43" s="21">
        <f t="shared" si="13"/>
        <v>0</v>
      </c>
      <c r="H43" s="21">
        <v>0</v>
      </c>
      <c r="I43" s="21">
        <f t="shared" si="10"/>
        <v>0</v>
      </c>
      <c r="J43" s="21">
        <f t="shared" si="11"/>
        <v>0</v>
      </c>
      <c r="K43" s="21">
        <f t="shared" si="12"/>
        <v>0</v>
      </c>
    </row>
    <row r="44" spans="4:12">
      <c r="D44" s="12"/>
      <c r="E44" s="12"/>
      <c r="F44" s="12"/>
      <c r="G44" s="12"/>
      <c r="H44" s="29">
        <f>SUM(H39:H43)</f>
        <v>750000</v>
      </c>
      <c r="I44" s="12"/>
      <c r="J44" s="29">
        <f>SUM(J39:J43)</f>
        <v>294600</v>
      </c>
      <c r="K44" s="12">
        <f t="shared" si="12"/>
        <v>24550</v>
      </c>
    </row>
    <row r="46" spans="4:12">
      <c r="J46" s="6">
        <f>H44+J44</f>
        <v>1044600</v>
      </c>
    </row>
    <row r="51" spans="1:9">
      <c r="A51" t="s">
        <v>77</v>
      </c>
      <c r="B51" t="s">
        <v>128</v>
      </c>
      <c r="C51" t="s">
        <v>81</v>
      </c>
      <c r="D51" t="s">
        <v>82</v>
      </c>
      <c r="E51" t="s">
        <v>83</v>
      </c>
      <c r="F51" t="s">
        <v>84</v>
      </c>
      <c r="G51" t="s">
        <v>85</v>
      </c>
      <c r="H51" t="s">
        <v>41</v>
      </c>
      <c r="I51" s="8"/>
    </row>
    <row r="52" spans="1:9">
      <c r="A52" t="s">
        <v>86</v>
      </c>
      <c r="B52">
        <v>0</v>
      </c>
      <c r="C52">
        <v>24</v>
      </c>
      <c r="D52">
        <v>24</v>
      </c>
      <c r="E52">
        <v>24</v>
      </c>
      <c r="F52">
        <v>24</v>
      </c>
      <c r="G52">
        <v>24</v>
      </c>
      <c r="H52">
        <f>SUM(C52:G52)</f>
        <v>120</v>
      </c>
      <c r="I52" s="8"/>
    </row>
    <row r="53" spans="1:9">
      <c r="A53" t="s">
        <v>119</v>
      </c>
      <c r="C53" s="32">
        <f>F6</f>
        <v>450000</v>
      </c>
      <c r="D53" s="7">
        <f>C53</f>
        <v>450000</v>
      </c>
      <c r="E53" s="7">
        <f t="shared" ref="E53:G53" si="14">D53</f>
        <v>450000</v>
      </c>
      <c r="F53" s="7">
        <f t="shared" si="14"/>
        <v>450000</v>
      </c>
      <c r="G53" s="7">
        <f t="shared" si="14"/>
        <v>450000</v>
      </c>
      <c r="H53" s="1"/>
      <c r="I53" s="7"/>
    </row>
    <row r="54" spans="1:9">
      <c r="A54" t="s">
        <v>133</v>
      </c>
      <c r="B54" s="15"/>
      <c r="C54" s="7">
        <f>Q7</f>
        <v>9000000</v>
      </c>
      <c r="D54" s="7">
        <f t="shared" ref="D54:G54" si="15">D52*D53</f>
        <v>10800000</v>
      </c>
      <c r="E54" s="7">
        <f t="shared" si="15"/>
        <v>10800000</v>
      </c>
      <c r="F54" s="7">
        <f t="shared" si="15"/>
        <v>10800000</v>
      </c>
      <c r="G54" s="7">
        <f t="shared" si="15"/>
        <v>10800000</v>
      </c>
      <c r="H54" s="1">
        <f t="shared" ref="H54:H75" si="16">SUM(C54:G54)</f>
        <v>52200000</v>
      </c>
      <c r="I54" s="7"/>
    </row>
    <row r="55" spans="1:9">
      <c r="A55" t="s">
        <v>1</v>
      </c>
      <c r="C55" s="7">
        <f>E8</f>
        <v>0</v>
      </c>
      <c r="D55" s="1"/>
      <c r="E55" s="1"/>
      <c r="F55" s="1"/>
      <c r="G55" s="1"/>
      <c r="H55" s="1">
        <f t="shared" si="16"/>
        <v>0</v>
      </c>
      <c r="I55" s="1"/>
    </row>
    <row r="56" spans="1:9">
      <c r="A56" t="s">
        <v>134</v>
      </c>
      <c r="C56" s="7">
        <f>E9</f>
        <v>0</v>
      </c>
      <c r="D56" s="7"/>
      <c r="E56" s="7"/>
      <c r="F56" s="7"/>
      <c r="G56" s="7"/>
      <c r="H56" s="1">
        <f t="shared" si="16"/>
        <v>0</v>
      </c>
      <c r="I56" s="7"/>
    </row>
    <row r="57" spans="1:9">
      <c r="A57" s="14" t="s">
        <v>135</v>
      </c>
      <c r="B57" s="14"/>
      <c r="C57" s="7">
        <f t="shared" ref="C57:G57" si="17">SUM(C54:C56)</f>
        <v>9000000</v>
      </c>
      <c r="D57" s="7">
        <f t="shared" si="17"/>
        <v>10800000</v>
      </c>
      <c r="E57" s="7">
        <f t="shared" si="17"/>
        <v>10800000</v>
      </c>
      <c r="F57" s="7">
        <f t="shared" si="17"/>
        <v>10800000</v>
      </c>
      <c r="G57" s="7">
        <f t="shared" si="17"/>
        <v>10800000</v>
      </c>
      <c r="H57" s="1">
        <f t="shared" si="16"/>
        <v>52200000</v>
      </c>
      <c r="I57" s="7">
        <f>SUM(H54:H56)</f>
        <v>52200000</v>
      </c>
    </row>
    <row r="58" spans="1:9">
      <c r="A58" t="s">
        <v>136</v>
      </c>
      <c r="C58" s="7"/>
      <c r="D58" s="7"/>
      <c r="E58" s="7"/>
      <c r="F58" s="7"/>
      <c r="G58" s="7"/>
      <c r="H58" s="1"/>
      <c r="I58" s="7"/>
    </row>
    <row r="59" spans="1:9">
      <c r="A59" t="s">
        <v>144</v>
      </c>
      <c r="C59" s="1">
        <f>E12</f>
        <v>0</v>
      </c>
      <c r="D59" s="1"/>
      <c r="E59" s="1"/>
      <c r="F59" s="1"/>
      <c r="G59" s="1"/>
      <c r="H59" s="1">
        <f t="shared" si="16"/>
        <v>0</v>
      </c>
      <c r="I59" s="1"/>
    </row>
    <row r="60" spans="1:9">
      <c r="A60" t="s">
        <v>145</v>
      </c>
      <c r="C60" s="1">
        <f>E13</f>
        <v>170000</v>
      </c>
      <c r="D60" s="1"/>
      <c r="E60" s="1"/>
      <c r="F60" s="1"/>
      <c r="G60" s="1"/>
      <c r="H60" s="1">
        <f t="shared" si="16"/>
        <v>170000</v>
      </c>
      <c r="I60" s="1"/>
    </row>
    <row r="61" spans="1:9">
      <c r="A61" t="s">
        <v>79</v>
      </c>
      <c r="C61" s="1" t="e">
        <f>E14</f>
        <v>#REF!</v>
      </c>
      <c r="D61" s="1"/>
      <c r="E61" s="1"/>
      <c r="F61" s="1"/>
      <c r="G61" s="1"/>
      <c r="H61" s="1" t="e">
        <f t="shared" si="16"/>
        <v>#REF!</v>
      </c>
      <c r="I61" s="1"/>
    </row>
    <row r="62" spans="1:9">
      <c r="A62" t="s">
        <v>78</v>
      </c>
      <c r="B62" t="s">
        <v>126</v>
      </c>
      <c r="C62" s="1" t="e">
        <f>Q15</f>
        <v>#REF!</v>
      </c>
      <c r="D62" s="1" t="e">
        <f>C62</f>
        <v>#REF!</v>
      </c>
      <c r="E62" s="1" t="e">
        <f t="shared" ref="E62:G62" si="18">D62</f>
        <v>#REF!</v>
      </c>
      <c r="F62" s="1" t="e">
        <f t="shared" si="18"/>
        <v>#REF!</v>
      </c>
      <c r="G62" s="1" t="e">
        <f t="shared" si="18"/>
        <v>#REF!</v>
      </c>
      <c r="H62" s="1" t="e">
        <f t="shared" si="16"/>
        <v>#REF!</v>
      </c>
      <c r="I62" s="1"/>
    </row>
    <row r="63" spans="1:9">
      <c r="A63" t="s">
        <v>2</v>
      </c>
      <c r="B63" t="s">
        <v>112</v>
      </c>
      <c r="C63" s="1" t="e">
        <f t="shared" ref="C63:C68" si="19">Q16</f>
        <v>#REF!</v>
      </c>
      <c r="D63" s="1" t="e">
        <f t="shared" ref="D63:G70" si="20">C63</f>
        <v>#REF!</v>
      </c>
      <c r="E63" s="1" t="e">
        <f t="shared" si="20"/>
        <v>#REF!</v>
      </c>
      <c r="F63" s="1" t="e">
        <f t="shared" si="20"/>
        <v>#REF!</v>
      </c>
      <c r="G63" s="1" t="e">
        <f t="shared" si="20"/>
        <v>#REF!</v>
      </c>
      <c r="H63" s="1" t="e">
        <f t="shared" si="16"/>
        <v>#REF!</v>
      </c>
      <c r="I63" s="1"/>
    </row>
    <row r="64" spans="1:9">
      <c r="A64" t="s">
        <v>80</v>
      </c>
      <c r="B64" t="s">
        <v>113</v>
      </c>
      <c r="C64" s="1">
        <f t="shared" si="19"/>
        <v>360000</v>
      </c>
      <c r="D64" s="1">
        <f t="shared" si="20"/>
        <v>360000</v>
      </c>
      <c r="E64" s="1">
        <f t="shared" si="20"/>
        <v>360000</v>
      </c>
      <c r="F64" s="1">
        <f t="shared" si="20"/>
        <v>360000</v>
      </c>
      <c r="G64" s="1">
        <f t="shared" si="20"/>
        <v>360000</v>
      </c>
      <c r="H64" s="1">
        <f t="shared" si="16"/>
        <v>1800000</v>
      </c>
      <c r="I64" s="1"/>
    </row>
    <row r="65" spans="1:10">
      <c r="A65" t="s">
        <v>39</v>
      </c>
      <c r="B65" t="s">
        <v>111</v>
      </c>
      <c r="C65" s="1" t="e">
        <f t="shared" si="19"/>
        <v>#REF!</v>
      </c>
      <c r="D65" s="1" t="e">
        <f t="shared" si="20"/>
        <v>#REF!</v>
      </c>
      <c r="E65" s="1" t="e">
        <f t="shared" si="20"/>
        <v>#REF!</v>
      </c>
      <c r="F65" s="1" t="e">
        <f t="shared" si="20"/>
        <v>#REF!</v>
      </c>
      <c r="G65" s="1" t="e">
        <f t="shared" si="20"/>
        <v>#REF!</v>
      </c>
      <c r="H65" s="1" t="e">
        <f t="shared" si="16"/>
        <v>#REF!</v>
      </c>
      <c r="I65" s="1"/>
    </row>
    <row r="66" spans="1:10">
      <c r="A66" t="s">
        <v>43</v>
      </c>
      <c r="B66" t="s">
        <v>118</v>
      </c>
      <c r="C66" s="1" t="e">
        <f t="shared" si="19"/>
        <v>#REF!</v>
      </c>
      <c r="D66" s="1" t="e">
        <f t="shared" si="20"/>
        <v>#REF!</v>
      </c>
      <c r="E66" s="1" t="e">
        <f t="shared" si="20"/>
        <v>#REF!</v>
      </c>
      <c r="F66" s="1" t="e">
        <f t="shared" si="20"/>
        <v>#REF!</v>
      </c>
      <c r="G66" s="1" t="e">
        <f t="shared" si="20"/>
        <v>#REF!</v>
      </c>
      <c r="H66" s="1" t="e">
        <f t="shared" si="16"/>
        <v>#REF!</v>
      </c>
      <c r="I66" s="1"/>
    </row>
    <row r="67" spans="1:10">
      <c r="A67" t="s">
        <v>89</v>
      </c>
      <c r="B67" t="s">
        <v>114</v>
      </c>
      <c r="C67" s="1" t="e">
        <f t="shared" si="19"/>
        <v>#REF!</v>
      </c>
      <c r="D67" s="1" t="e">
        <f t="shared" si="20"/>
        <v>#REF!</v>
      </c>
      <c r="E67" s="1" t="e">
        <f t="shared" si="20"/>
        <v>#REF!</v>
      </c>
      <c r="F67" s="1" t="e">
        <f t="shared" si="20"/>
        <v>#REF!</v>
      </c>
      <c r="G67" s="1" t="e">
        <f t="shared" si="20"/>
        <v>#REF!</v>
      </c>
      <c r="H67" s="1" t="e">
        <f t="shared" si="16"/>
        <v>#REF!</v>
      </c>
      <c r="I67" s="1"/>
    </row>
    <row r="68" spans="1:10">
      <c r="A68" t="s">
        <v>146</v>
      </c>
      <c r="B68" t="s">
        <v>147</v>
      </c>
      <c r="C68" s="1">
        <f t="shared" si="19"/>
        <v>0</v>
      </c>
      <c r="D68" s="1">
        <f t="shared" si="20"/>
        <v>0</v>
      </c>
      <c r="E68" s="1">
        <f t="shared" si="20"/>
        <v>0</v>
      </c>
      <c r="F68" s="1">
        <f t="shared" si="20"/>
        <v>0</v>
      </c>
      <c r="G68" s="1">
        <f t="shared" si="20"/>
        <v>0</v>
      </c>
      <c r="H68" s="1">
        <f t="shared" si="16"/>
        <v>0</v>
      </c>
      <c r="I68" s="1"/>
    </row>
    <row r="69" spans="1:10">
      <c r="A69" t="s">
        <v>122</v>
      </c>
      <c r="B69" t="s">
        <v>124</v>
      </c>
      <c r="C69" s="1">
        <f t="shared" ref="C69:C70" si="21">E22</f>
        <v>0</v>
      </c>
      <c r="D69" s="1">
        <f t="shared" si="20"/>
        <v>0</v>
      </c>
      <c r="E69" s="1">
        <f t="shared" si="20"/>
        <v>0</v>
      </c>
      <c r="F69" s="1">
        <f t="shared" si="20"/>
        <v>0</v>
      </c>
      <c r="G69" s="1">
        <f t="shared" si="20"/>
        <v>0</v>
      </c>
      <c r="H69" s="1">
        <f t="shared" si="16"/>
        <v>0</v>
      </c>
      <c r="I69" s="1"/>
    </row>
    <row r="70" spans="1:10">
      <c r="A70" t="s">
        <v>123</v>
      </c>
      <c r="B70" t="s">
        <v>125</v>
      </c>
      <c r="C70" s="1">
        <f t="shared" si="21"/>
        <v>0</v>
      </c>
      <c r="D70" s="1">
        <f t="shared" si="20"/>
        <v>0</v>
      </c>
      <c r="E70" s="1">
        <f t="shared" si="20"/>
        <v>0</v>
      </c>
      <c r="F70" s="1">
        <f t="shared" si="20"/>
        <v>0</v>
      </c>
      <c r="G70" s="1">
        <f t="shared" si="20"/>
        <v>0</v>
      </c>
      <c r="H70" s="1">
        <f t="shared" si="16"/>
        <v>0</v>
      </c>
      <c r="I70" s="1"/>
    </row>
    <row r="71" spans="1:10">
      <c r="A71" t="s">
        <v>155</v>
      </c>
      <c r="C71" s="21">
        <f>H39+J39</f>
        <v>322800</v>
      </c>
      <c r="D71" s="21">
        <f>H40+J40</f>
        <v>284400</v>
      </c>
      <c r="E71" s="21">
        <f>H41+J41</f>
        <v>246000</v>
      </c>
      <c r="F71" s="21">
        <f>H42+J42</f>
        <v>191400</v>
      </c>
      <c r="G71" s="21">
        <f>H43+J43</f>
        <v>0</v>
      </c>
      <c r="H71" s="21">
        <f t="shared" si="16"/>
        <v>1044600</v>
      </c>
      <c r="I71" s="1"/>
    </row>
    <row r="72" spans="1:10">
      <c r="A72" t="s">
        <v>49</v>
      </c>
      <c r="C72" s="1">
        <v>0</v>
      </c>
      <c r="D72" s="1">
        <f>'Model  incomes statements '!C68</f>
        <v>266009.99760000018</v>
      </c>
      <c r="E72" s="1">
        <f>'Model  incomes statements '!D68</f>
        <v>277529.99760000018</v>
      </c>
      <c r="F72" s="1">
        <f>'Model  incomes statements '!E68</f>
        <v>289049.99760000018</v>
      </c>
      <c r="G72" s="1">
        <f>'Model  incomes statements '!F68</f>
        <v>309029.99760000018</v>
      </c>
      <c r="H72" s="1">
        <f>SUM(C72:G72)</f>
        <v>1141619.9904000007</v>
      </c>
      <c r="I72" s="1"/>
    </row>
    <row r="73" spans="1:10">
      <c r="A73" s="4" t="s">
        <v>137</v>
      </c>
      <c r="B73" s="4"/>
      <c r="C73" s="1" t="e">
        <f>SUM(C59:C72)</f>
        <v>#REF!</v>
      </c>
      <c r="D73" s="1" t="e">
        <f>SUM(D59:D72)</f>
        <v>#REF!</v>
      </c>
      <c r="E73" s="1" t="e">
        <f t="shared" ref="E73:G73" si="22">SUM(E59:E72)</f>
        <v>#REF!</v>
      </c>
      <c r="F73" s="1" t="e">
        <f t="shared" si="22"/>
        <v>#REF!</v>
      </c>
      <c r="G73" s="1" t="e">
        <f t="shared" si="22"/>
        <v>#REF!</v>
      </c>
      <c r="H73" s="1" t="e">
        <f t="shared" si="16"/>
        <v>#REF!</v>
      </c>
      <c r="I73" s="1" t="e">
        <f>SUM(H59:H72)</f>
        <v>#REF!</v>
      </c>
    </row>
    <row r="74" spans="1:10">
      <c r="C74" s="1"/>
      <c r="D74" s="1"/>
      <c r="E74" s="1"/>
      <c r="F74" s="1"/>
      <c r="G74" s="1"/>
      <c r="H74" s="1">
        <f t="shared" si="16"/>
        <v>0</v>
      </c>
      <c r="I74" s="1"/>
    </row>
    <row r="75" spans="1:10">
      <c r="A75" s="4" t="s">
        <v>138</v>
      </c>
      <c r="B75" s="4"/>
      <c r="C75" s="1" t="e">
        <f>C57-C73</f>
        <v>#REF!</v>
      </c>
      <c r="D75" s="1" t="e">
        <f t="shared" ref="D75:G75" si="23">D57-D73</f>
        <v>#REF!</v>
      </c>
      <c r="E75" s="1" t="e">
        <f t="shared" si="23"/>
        <v>#REF!</v>
      </c>
      <c r="F75" s="1" t="e">
        <f t="shared" si="23"/>
        <v>#REF!</v>
      </c>
      <c r="G75" s="1" t="e">
        <f t="shared" si="23"/>
        <v>#REF!</v>
      </c>
      <c r="H75" s="1" t="e">
        <f t="shared" si="16"/>
        <v>#REF!</v>
      </c>
      <c r="I75" s="1" t="e">
        <f>I57-I73</f>
        <v>#REF!</v>
      </c>
      <c r="J75" s="6"/>
    </row>
    <row r="76" spans="1:10">
      <c r="A76" t="s">
        <v>139</v>
      </c>
      <c r="B76">
        <v>-999000</v>
      </c>
      <c r="C76" s="1">
        <f>B76</f>
        <v>-999000</v>
      </c>
      <c r="D76" s="1" t="e">
        <f>C77</f>
        <v>#REF!</v>
      </c>
      <c r="E76" s="1" t="e">
        <f t="shared" ref="E76:G76" si="24">D77</f>
        <v>#REF!</v>
      </c>
      <c r="F76" s="1" t="e">
        <f t="shared" si="24"/>
        <v>#REF!</v>
      </c>
      <c r="G76" s="1" t="e">
        <f t="shared" si="24"/>
        <v>#REF!</v>
      </c>
      <c r="H76" s="1">
        <f>C76</f>
        <v>-999000</v>
      </c>
      <c r="I76" s="1"/>
    </row>
    <row r="77" spans="1:10">
      <c r="A77" s="4" t="s">
        <v>140</v>
      </c>
      <c r="C77" s="25" t="e">
        <f>SUM(C75:C76)</f>
        <v>#REF!</v>
      </c>
      <c r="D77" s="25" t="e">
        <f t="shared" ref="D77:H77" si="25">SUM(D75:D76)</f>
        <v>#REF!</v>
      </c>
      <c r="E77" s="25" t="e">
        <f t="shared" si="25"/>
        <v>#REF!</v>
      </c>
      <c r="F77" s="25" t="e">
        <f t="shared" si="25"/>
        <v>#REF!</v>
      </c>
      <c r="G77" s="25" t="e">
        <f t="shared" si="25"/>
        <v>#REF!</v>
      </c>
      <c r="H77" s="25" t="e">
        <f t="shared" si="25"/>
        <v>#REF!</v>
      </c>
      <c r="I77" s="6" t="e">
        <f>SUM(I75:I76)</f>
        <v>#REF!</v>
      </c>
    </row>
    <row r="81" spans="1:1">
      <c r="A81" t="s">
        <v>157</v>
      </c>
    </row>
  </sheetData>
  <phoneticPr fontId="8" type="noConversion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topLeftCell="S1" workbookViewId="0">
      <selection activeCell="J10" sqref="J10"/>
    </sheetView>
  </sheetViews>
  <sheetFormatPr baseColWidth="10" defaultColWidth="8.83203125" defaultRowHeight="14" x14ac:dyDescent="0"/>
  <cols>
    <col min="1" max="2" width="28.1640625" customWidth="1"/>
    <col min="3" max="3" width="25.83203125" customWidth="1"/>
    <col min="4" max="4" width="4" customWidth="1"/>
    <col min="5" max="5" width="18.33203125" customWidth="1"/>
    <col min="7" max="7" width="19" bestFit="1" customWidth="1"/>
    <col min="8" max="8" width="15.83203125" customWidth="1"/>
    <col min="9" max="9" width="14.6640625" customWidth="1"/>
    <col min="10" max="10" width="13" customWidth="1"/>
    <col min="11" max="12" width="13.5" customWidth="1"/>
    <col min="13" max="13" width="12.5" bestFit="1" customWidth="1"/>
  </cols>
  <sheetData>
    <row r="1" spans="1:13">
      <c r="B1" t="s">
        <v>92</v>
      </c>
    </row>
    <row r="2" spans="1:13">
      <c r="A2" t="s">
        <v>110</v>
      </c>
      <c r="C2" t="s">
        <v>109</v>
      </c>
      <c r="G2" t="s">
        <v>38</v>
      </c>
      <c r="H2" t="s">
        <v>101</v>
      </c>
      <c r="I2" t="s">
        <v>41</v>
      </c>
      <c r="J2" t="s">
        <v>103</v>
      </c>
      <c r="K2" t="s">
        <v>33</v>
      </c>
      <c r="L2" t="s">
        <v>106</v>
      </c>
      <c r="M2" t="s">
        <v>41</v>
      </c>
    </row>
    <row r="3" spans="1:13">
      <c r="A3" t="s">
        <v>3</v>
      </c>
      <c r="B3" t="s">
        <v>93</v>
      </c>
      <c r="C3" t="s">
        <v>117</v>
      </c>
      <c r="E3" s="1">
        <f>8000*20000*1.2</f>
        <v>192000000</v>
      </c>
      <c r="G3" s="1">
        <f>90000*22000</f>
        <v>1980000000</v>
      </c>
      <c r="H3" s="1">
        <f>E3*12</f>
        <v>2304000000</v>
      </c>
      <c r="I3" s="1">
        <f>H3-G3</f>
        <v>324000000</v>
      </c>
      <c r="J3" s="1">
        <f>(8000*10-90000)*24000</f>
        <v>-240000000</v>
      </c>
      <c r="K3" s="1">
        <f>90000*(24000-22000)</f>
        <v>180000000</v>
      </c>
      <c r="L3" s="1">
        <f>(12-10)*192000000</f>
        <v>384000000</v>
      </c>
      <c r="M3" s="1">
        <f>SUM(J3:L3)</f>
        <v>324000000</v>
      </c>
    </row>
    <row r="4" spans="1:13">
      <c r="A4" t="s">
        <v>2</v>
      </c>
      <c r="B4" t="s">
        <v>94</v>
      </c>
      <c r="C4" t="s">
        <v>112</v>
      </c>
      <c r="E4" s="1">
        <v>60000000</v>
      </c>
      <c r="G4" s="1">
        <v>620000000</v>
      </c>
      <c r="H4" s="1">
        <f>E4*12</f>
        <v>720000000</v>
      </c>
      <c r="I4" s="1">
        <f t="shared" ref="I4:I14" si="0">H4-G4</f>
        <v>100000000</v>
      </c>
      <c r="J4" s="1"/>
      <c r="K4" s="1">
        <f>10*60000000-620000000</f>
        <v>-20000000</v>
      </c>
      <c r="L4" s="1">
        <f>(12-10)*60000000</f>
        <v>120000000</v>
      </c>
      <c r="M4" s="1">
        <f t="shared" ref="M4:M11" si="1">SUM(J4:L4)</f>
        <v>100000000</v>
      </c>
    </row>
    <row r="5" spans="1:13">
      <c r="A5" t="s">
        <v>80</v>
      </c>
      <c r="B5" t="s">
        <v>95</v>
      </c>
      <c r="C5" t="s">
        <v>113</v>
      </c>
      <c r="E5" s="1">
        <v>12000000</v>
      </c>
      <c r="G5" s="1">
        <v>130000000</v>
      </c>
      <c r="H5" s="1">
        <f>E5*12</f>
        <v>144000000</v>
      </c>
      <c r="I5" s="1">
        <f t="shared" si="0"/>
        <v>14000000</v>
      </c>
      <c r="J5" s="1"/>
      <c r="K5" s="1"/>
      <c r="L5" s="1"/>
      <c r="M5" s="1">
        <f t="shared" si="1"/>
        <v>0</v>
      </c>
    </row>
    <row r="6" spans="1:13">
      <c r="A6" t="s">
        <v>39</v>
      </c>
      <c r="B6" t="s">
        <v>96</v>
      </c>
      <c r="C6" t="s">
        <v>111</v>
      </c>
      <c r="E6" s="1">
        <f>9000*3500</f>
        <v>31500000</v>
      </c>
      <c r="G6" s="1">
        <f>100000*3200</f>
        <v>320000000</v>
      </c>
      <c r="H6" s="1">
        <f t="shared" ref="H6:H11" si="2">E6*10</f>
        <v>315000000</v>
      </c>
      <c r="I6" s="1">
        <f t="shared" si="0"/>
        <v>-5000000</v>
      </c>
      <c r="J6" s="1"/>
      <c r="K6" s="1"/>
      <c r="L6" s="1"/>
      <c r="M6" s="1">
        <f t="shared" si="1"/>
        <v>0</v>
      </c>
    </row>
    <row r="7" spans="1:13">
      <c r="A7" t="s">
        <v>43</v>
      </c>
      <c r="B7" t="s">
        <v>97</v>
      </c>
      <c r="C7" t="s">
        <v>118</v>
      </c>
      <c r="E7" s="1">
        <v>100000000</v>
      </c>
      <c r="G7" s="1">
        <v>920000000</v>
      </c>
      <c r="H7" s="1">
        <f t="shared" si="2"/>
        <v>1000000000</v>
      </c>
      <c r="I7" s="1">
        <f t="shared" si="0"/>
        <v>80000000</v>
      </c>
      <c r="J7" s="1"/>
      <c r="K7" s="1"/>
      <c r="L7" s="1"/>
      <c r="M7" s="1">
        <f t="shared" si="1"/>
        <v>0</v>
      </c>
    </row>
    <row r="8" spans="1:13">
      <c r="A8" t="s">
        <v>89</v>
      </c>
      <c r="B8" t="s">
        <v>98</v>
      </c>
      <c r="C8" t="s">
        <v>114</v>
      </c>
      <c r="E8" s="1">
        <f>15000000/2</f>
        <v>7500000</v>
      </c>
      <c r="G8" s="1">
        <v>150000000</v>
      </c>
      <c r="H8" s="1">
        <f t="shared" si="2"/>
        <v>75000000</v>
      </c>
      <c r="I8" s="1">
        <f t="shared" si="0"/>
        <v>-75000000</v>
      </c>
      <c r="J8" s="1"/>
      <c r="K8" s="1"/>
      <c r="L8" s="1"/>
      <c r="M8" s="1">
        <f t="shared" si="1"/>
        <v>0</v>
      </c>
    </row>
    <row r="9" spans="1:13">
      <c r="A9" t="s">
        <v>19</v>
      </c>
      <c r="B9" t="s">
        <v>104</v>
      </c>
      <c r="C9" t="s">
        <v>115</v>
      </c>
      <c r="E9" s="1">
        <f>350000000/(7*24)</f>
        <v>2083333.3333333333</v>
      </c>
      <c r="G9" s="1">
        <v>17500000</v>
      </c>
      <c r="H9" s="1">
        <f t="shared" si="2"/>
        <v>20833333.333333332</v>
      </c>
      <c r="I9" s="1">
        <f t="shared" si="0"/>
        <v>3333333.3333333321</v>
      </c>
      <c r="J9" s="1"/>
      <c r="K9" s="1"/>
      <c r="L9" s="1"/>
      <c r="M9" s="1">
        <f t="shared" si="1"/>
        <v>0</v>
      </c>
    </row>
    <row r="10" spans="1:13">
      <c r="A10" t="s">
        <v>107</v>
      </c>
      <c r="B10" t="s">
        <v>105</v>
      </c>
      <c r="C10" t="s">
        <v>129</v>
      </c>
      <c r="E10" s="1">
        <f>170000000/(20*24)</f>
        <v>354166.66666666669</v>
      </c>
      <c r="G10" s="1">
        <v>4250000</v>
      </c>
      <c r="H10" s="1">
        <f t="shared" si="2"/>
        <v>3541666.666666667</v>
      </c>
      <c r="I10" s="1">
        <f t="shared" si="0"/>
        <v>-708333.33333333302</v>
      </c>
      <c r="J10" s="1"/>
      <c r="K10" s="1"/>
      <c r="L10" s="1"/>
      <c r="M10" s="1">
        <f t="shared" si="1"/>
        <v>0</v>
      </c>
    </row>
    <row r="11" spans="1:13">
      <c r="A11" t="s">
        <v>108</v>
      </c>
      <c r="B11" t="s">
        <v>102</v>
      </c>
      <c r="C11" t="s">
        <v>130</v>
      </c>
      <c r="E11" s="1">
        <f>(15000000*6)/(3*24)</f>
        <v>1250000</v>
      </c>
      <c r="G11" s="1">
        <v>6250000</v>
      </c>
      <c r="H11" s="1">
        <f t="shared" si="2"/>
        <v>12500000</v>
      </c>
      <c r="I11" s="1">
        <f t="shared" si="0"/>
        <v>6250000</v>
      </c>
      <c r="J11" s="1"/>
      <c r="K11" s="1"/>
      <c r="L11" s="1"/>
      <c r="M11" s="1">
        <f t="shared" si="1"/>
        <v>0</v>
      </c>
    </row>
    <row r="12" spans="1:13">
      <c r="A12" t="s">
        <v>116</v>
      </c>
      <c r="E12" s="1">
        <f>SUM(E3:E11)</f>
        <v>406687500</v>
      </c>
      <c r="G12" s="1">
        <f>SUM(G3:G11)</f>
        <v>4148000000</v>
      </c>
      <c r="H12" s="1">
        <f>SUM(H3:H11)</f>
        <v>4594875000</v>
      </c>
      <c r="I12" s="1">
        <f t="shared" si="0"/>
        <v>446875000</v>
      </c>
      <c r="J12" s="1">
        <f>SUM(I3:I11)</f>
        <v>446875000</v>
      </c>
      <c r="K12" s="1"/>
      <c r="L12" s="1"/>
      <c r="M12" s="1"/>
    </row>
    <row r="13" spans="1:13">
      <c r="A13" t="s">
        <v>141</v>
      </c>
      <c r="E13" s="1">
        <f>E12*0.2</f>
        <v>81337500</v>
      </c>
      <c r="G13" s="1">
        <v>4600000000</v>
      </c>
      <c r="H13" s="1">
        <f>E16*10</f>
        <v>4500000000</v>
      </c>
      <c r="I13" s="1">
        <f>G13-H13</f>
        <v>100000000</v>
      </c>
      <c r="J13" s="1"/>
      <c r="K13" s="1"/>
      <c r="L13" s="1"/>
      <c r="M13" s="1"/>
    </row>
    <row r="14" spans="1:13">
      <c r="A14" t="s">
        <v>33</v>
      </c>
      <c r="B14" t="s">
        <v>99</v>
      </c>
      <c r="E14" s="1">
        <f>E12+E13</f>
        <v>488025000</v>
      </c>
      <c r="F14" t="s">
        <v>100</v>
      </c>
      <c r="G14" s="1">
        <f>G13-G12</f>
        <v>452000000</v>
      </c>
      <c r="H14" s="1">
        <f>H13-H12</f>
        <v>-94875000</v>
      </c>
      <c r="I14" s="1">
        <f t="shared" si="0"/>
        <v>-546875000</v>
      </c>
      <c r="J14" s="1">
        <f>SUM(I12:I13)</f>
        <v>546875000</v>
      </c>
      <c r="K14" s="1"/>
      <c r="L14" s="1"/>
      <c r="M14" s="1"/>
    </row>
    <row r="15" spans="1:13">
      <c r="A15" s="4"/>
      <c r="B15" s="4"/>
      <c r="C15" s="4"/>
      <c r="D15" s="4"/>
      <c r="E15" s="2"/>
      <c r="G15" s="1"/>
      <c r="H15" s="1"/>
      <c r="I15" s="1"/>
      <c r="J15" s="1"/>
      <c r="K15" s="1"/>
      <c r="L15" s="1"/>
      <c r="M15" s="1"/>
    </row>
    <row r="16" spans="1:13">
      <c r="A16" t="s">
        <v>142</v>
      </c>
      <c r="C16" s="17">
        <f>E10*24/2</f>
        <v>4250000</v>
      </c>
      <c r="E16" s="1">
        <v>450000000</v>
      </c>
      <c r="G16" s="1"/>
      <c r="H16" s="1"/>
      <c r="I16" s="1"/>
      <c r="J16" s="1"/>
      <c r="K16" s="1"/>
      <c r="L16" s="1"/>
      <c r="M16" s="1"/>
    </row>
    <row r="17" spans="7:13">
      <c r="G17" s="1"/>
      <c r="H17" s="1"/>
      <c r="I17" s="1"/>
      <c r="J17" s="1"/>
      <c r="K17" s="1"/>
      <c r="L17" s="1"/>
      <c r="M17" s="1"/>
    </row>
    <row r="18" spans="7:13">
      <c r="G18" s="1"/>
      <c r="H18" s="1"/>
      <c r="I18" s="1"/>
      <c r="J18" s="1"/>
      <c r="K18" s="1"/>
      <c r="L18" s="1"/>
      <c r="M18" s="1"/>
    </row>
  </sheetData>
  <phoneticPr fontId="8" type="noConversion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topLeftCell="A51" workbookViewId="0">
      <selection activeCell="B51" sqref="B51"/>
    </sheetView>
  </sheetViews>
  <sheetFormatPr baseColWidth="10" defaultColWidth="8.83203125" defaultRowHeight="14" x14ac:dyDescent="0"/>
  <cols>
    <col min="1" max="1" width="23.5" customWidth="1"/>
    <col min="2" max="2" width="29.5" customWidth="1"/>
    <col min="4" max="4" width="17.5" customWidth="1"/>
    <col min="5" max="5" width="12.5" customWidth="1"/>
    <col min="6" max="6" width="13.5" customWidth="1"/>
    <col min="7" max="7" width="15.83203125" customWidth="1"/>
  </cols>
  <sheetData>
    <row r="1" spans="1:8" ht="25" customHeight="1">
      <c r="A1" s="65" t="s">
        <v>258</v>
      </c>
      <c r="B1" s="94"/>
      <c r="C1" s="1"/>
      <c r="D1" s="1"/>
      <c r="E1" s="1"/>
      <c r="F1" s="1"/>
      <c r="G1" s="1"/>
      <c r="H1" s="1"/>
    </row>
    <row r="2" spans="1:8" ht="25" customHeight="1">
      <c r="A2" s="98" t="s">
        <v>243</v>
      </c>
      <c r="B2" s="4"/>
      <c r="C2" s="4"/>
      <c r="D2" s="4"/>
      <c r="E2" s="4"/>
      <c r="F2" s="4"/>
      <c r="G2" s="4"/>
      <c r="H2" s="4"/>
    </row>
    <row r="3" spans="1:8" ht="25" customHeight="1">
      <c r="A3" s="15" t="s">
        <v>244</v>
      </c>
      <c r="B3" s="15"/>
      <c r="C3" s="15"/>
      <c r="D3" s="15"/>
      <c r="E3" s="15"/>
      <c r="F3" s="15"/>
      <c r="G3" s="15"/>
      <c r="H3" s="15"/>
    </row>
    <row r="4" spans="1:8" ht="25" customHeight="1">
      <c r="A4" s="15" t="s">
        <v>245</v>
      </c>
      <c r="B4" s="15"/>
      <c r="C4" s="15"/>
      <c r="D4" s="15"/>
      <c r="E4" s="15"/>
      <c r="F4" s="15"/>
      <c r="G4" s="15"/>
      <c r="H4" s="15"/>
    </row>
    <row r="5" spans="1:8" ht="25" customHeight="1">
      <c r="A5" s="15" t="s">
        <v>246</v>
      </c>
      <c r="B5" s="15"/>
      <c r="C5" s="15"/>
      <c r="D5" s="15"/>
      <c r="E5" s="15"/>
      <c r="F5" s="15"/>
      <c r="G5" s="15"/>
      <c r="H5" s="15"/>
    </row>
    <row r="6" spans="1:8" ht="25" customHeight="1">
      <c r="A6" s="15" t="s">
        <v>247</v>
      </c>
      <c r="B6" s="15"/>
      <c r="C6" s="15"/>
      <c r="D6" s="15"/>
      <c r="E6" s="15"/>
      <c r="F6" s="15"/>
      <c r="G6" s="15"/>
      <c r="H6" s="15"/>
    </row>
    <row r="7" spans="1:8" ht="25" customHeight="1">
      <c r="A7" s="15"/>
      <c r="B7" s="15"/>
      <c r="C7" s="15"/>
      <c r="D7" s="15"/>
      <c r="E7" s="15"/>
      <c r="F7" s="15"/>
      <c r="G7" s="15"/>
      <c r="H7" s="15"/>
    </row>
    <row r="8" spans="1:8" ht="25" customHeight="1">
      <c r="A8" s="4" t="s">
        <v>248</v>
      </c>
      <c r="B8" s="4"/>
      <c r="C8" s="15"/>
      <c r="D8" s="15"/>
      <c r="E8" s="15"/>
      <c r="F8" s="15"/>
      <c r="G8" s="15"/>
      <c r="H8" s="15"/>
    </row>
    <row r="9" spans="1:8" ht="25" customHeight="1">
      <c r="A9" s="15" t="s">
        <v>249</v>
      </c>
      <c r="B9" s="15"/>
      <c r="C9" s="15"/>
      <c r="D9" s="15"/>
      <c r="E9" s="15"/>
      <c r="F9" s="15"/>
      <c r="G9" s="15"/>
      <c r="H9" s="15"/>
    </row>
    <row r="10" spans="1:8" ht="25" customHeight="1">
      <c r="A10" s="15" t="s">
        <v>250</v>
      </c>
      <c r="B10" s="15"/>
      <c r="C10" s="15"/>
      <c r="D10" s="15"/>
      <c r="E10" s="15"/>
      <c r="F10" s="15"/>
      <c r="G10" s="15"/>
      <c r="H10" s="15"/>
    </row>
    <row r="11" spans="1:8" ht="25" customHeight="1">
      <c r="A11" s="15" t="s">
        <v>251</v>
      </c>
      <c r="B11" s="15"/>
      <c r="C11" s="15"/>
      <c r="D11" s="15"/>
      <c r="E11" s="15"/>
      <c r="F11" s="15"/>
      <c r="G11" s="15"/>
      <c r="H11" s="15"/>
    </row>
    <row r="12" spans="1:8" ht="25" customHeight="1">
      <c r="A12" s="15" t="s">
        <v>252</v>
      </c>
      <c r="B12" s="15"/>
      <c r="C12" s="15"/>
      <c r="D12" s="15"/>
      <c r="E12" s="15"/>
      <c r="F12" s="15"/>
      <c r="G12" s="15"/>
      <c r="H12" s="15"/>
    </row>
    <row r="13" spans="1:8" ht="25" customHeight="1">
      <c r="A13" s="15" t="s">
        <v>253</v>
      </c>
      <c r="B13" s="15"/>
      <c r="C13" s="15"/>
      <c r="D13" s="15"/>
      <c r="E13" s="15"/>
      <c r="F13" s="15"/>
      <c r="G13" s="15"/>
      <c r="H13" s="15"/>
    </row>
    <row r="14" spans="1:8" ht="25" customHeight="1">
      <c r="A14" s="15"/>
      <c r="B14" s="15"/>
      <c r="C14" s="15"/>
      <c r="D14" s="15"/>
      <c r="E14" s="15"/>
      <c r="F14" s="15"/>
      <c r="G14" s="15"/>
      <c r="H14" s="15"/>
    </row>
    <row r="15" spans="1:8" ht="25" customHeight="1">
      <c r="A15" s="4" t="s">
        <v>254</v>
      </c>
      <c r="B15" s="4"/>
      <c r="C15" s="4"/>
      <c r="D15" s="4"/>
      <c r="E15" s="4"/>
      <c r="F15" s="4"/>
      <c r="G15" s="4"/>
      <c r="H15" s="4"/>
    </row>
    <row r="16" spans="1:8" ht="25" customHeight="1">
      <c r="A16" s="4"/>
      <c r="B16" s="4"/>
      <c r="C16" s="4"/>
      <c r="D16" s="4"/>
      <c r="E16" s="4"/>
      <c r="F16" s="4"/>
      <c r="G16" s="4"/>
      <c r="H16" s="4"/>
    </row>
    <row r="17" spans="1:8">
      <c r="A17" s="4"/>
      <c r="B17" s="4"/>
      <c r="C17" s="4"/>
      <c r="D17" s="4"/>
      <c r="E17" s="4"/>
      <c r="F17" s="4"/>
      <c r="G17" s="4"/>
      <c r="H17" s="4"/>
    </row>
    <row r="18" spans="1:8">
      <c r="A18" s="4"/>
      <c r="B18" s="4"/>
      <c r="C18" s="4"/>
      <c r="D18" s="4"/>
      <c r="E18" s="4"/>
      <c r="F18" s="4"/>
      <c r="G18" s="4"/>
      <c r="H18" s="4"/>
    </row>
    <row r="19" spans="1:8">
      <c r="A19" s="4"/>
      <c r="B19" s="4"/>
      <c r="C19" s="4"/>
      <c r="D19" s="4"/>
      <c r="E19" s="4"/>
      <c r="F19" s="4"/>
      <c r="G19" s="4"/>
      <c r="H19" s="4"/>
    </row>
    <row r="20" spans="1:8">
      <c r="A20" s="4"/>
      <c r="B20" s="4"/>
      <c r="C20" s="4"/>
      <c r="D20" s="4"/>
      <c r="E20" s="4"/>
      <c r="F20" s="4"/>
      <c r="G20" s="4"/>
      <c r="H20" s="4"/>
    </row>
    <row r="21" spans="1:8">
      <c r="A21" s="4"/>
      <c r="B21" s="4"/>
      <c r="C21" s="4"/>
      <c r="D21" s="4"/>
      <c r="E21" s="4"/>
      <c r="F21" s="4"/>
      <c r="G21" s="4"/>
      <c r="H21" s="4"/>
    </row>
    <row r="22" spans="1:8">
      <c r="A22" s="4"/>
      <c r="B22" s="4"/>
      <c r="C22" s="4"/>
      <c r="D22" s="4"/>
      <c r="E22" s="4"/>
      <c r="F22" s="4"/>
      <c r="G22" s="4"/>
      <c r="H22" s="4"/>
    </row>
    <row r="23" spans="1:8">
      <c r="A23" s="4"/>
      <c r="B23" s="4"/>
      <c r="C23" s="4"/>
      <c r="D23" s="4"/>
      <c r="E23" s="4"/>
      <c r="F23" s="4"/>
      <c r="G23" s="4"/>
      <c r="H23" s="4"/>
    </row>
    <row r="24" spans="1:8">
      <c r="A24" s="4"/>
      <c r="B24" s="4"/>
      <c r="C24" s="4"/>
      <c r="D24" s="4"/>
      <c r="E24" s="4"/>
      <c r="F24" s="4"/>
      <c r="G24" s="4"/>
      <c r="H24" s="4"/>
    </row>
    <row r="25" spans="1:8">
      <c r="A25" s="4"/>
      <c r="B25" s="4"/>
      <c r="C25" s="4"/>
      <c r="D25" s="4"/>
      <c r="E25" s="4"/>
      <c r="F25" s="4"/>
      <c r="G25" s="4"/>
      <c r="H25" s="4"/>
    </row>
    <row r="26" spans="1:8">
      <c r="B26" s="1"/>
      <c r="C26" s="2" t="s">
        <v>255</v>
      </c>
      <c r="D26" s="1"/>
      <c r="E26" s="1"/>
      <c r="F26" s="1"/>
      <c r="G26" s="1"/>
      <c r="H26" s="1"/>
    </row>
    <row r="27" spans="1:8">
      <c r="A27" s="4" t="s">
        <v>196</v>
      </c>
      <c r="B27" s="2"/>
      <c r="C27" s="40" t="s">
        <v>256</v>
      </c>
      <c r="D27" s="40" t="s">
        <v>195</v>
      </c>
      <c r="E27" s="40" t="s">
        <v>194</v>
      </c>
      <c r="F27" s="40" t="s">
        <v>193</v>
      </c>
      <c r="G27" s="40" t="s">
        <v>41</v>
      </c>
      <c r="H27" s="1"/>
    </row>
    <row r="28" spans="1:8">
      <c r="A28" s="4" t="s">
        <v>192</v>
      </c>
      <c r="B28" s="2"/>
      <c r="C28" s="40">
        <v>1</v>
      </c>
      <c r="D28" s="40">
        <v>2</v>
      </c>
      <c r="E28" s="40">
        <v>2</v>
      </c>
      <c r="F28" s="40">
        <v>2</v>
      </c>
      <c r="G28" s="40"/>
      <c r="H28" s="1"/>
    </row>
    <row r="29" spans="1:8">
      <c r="A29" s="4"/>
      <c r="B29" s="2"/>
      <c r="C29" s="40"/>
      <c r="D29" s="40" t="s">
        <v>191</v>
      </c>
      <c r="E29" s="40" t="s">
        <v>191</v>
      </c>
      <c r="F29" s="40" t="s">
        <v>191</v>
      </c>
      <c r="G29" s="40" t="s">
        <v>191</v>
      </c>
      <c r="H29" s="1"/>
    </row>
    <row r="30" spans="1:8">
      <c r="A30" t="s">
        <v>203</v>
      </c>
      <c r="B30" s="1">
        <v>404300</v>
      </c>
      <c r="C30" s="1">
        <f>B30/2</f>
        <v>202150</v>
      </c>
      <c r="D30" s="1">
        <f>D39*1.3</f>
        <v>403000</v>
      </c>
      <c r="E30" s="1">
        <f>E39*1.3</f>
        <v>403000</v>
      </c>
      <c r="F30" s="1">
        <f>F39*1.3</f>
        <v>403000</v>
      </c>
      <c r="G30" s="1">
        <f t="shared" ref="G30:G40" si="0">D30+E30+F30</f>
        <v>1209000</v>
      </c>
      <c r="H30" s="1"/>
    </row>
    <row r="31" spans="1:8">
      <c r="A31" s="15" t="s">
        <v>202</v>
      </c>
      <c r="B31" s="1"/>
      <c r="C31" s="1"/>
      <c r="D31" s="1">
        <v>0</v>
      </c>
      <c r="E31" s="1">
        <v>0</v>
      </c>
      <c r="F31" s="1">
        <v>0</v>
      </c>
      <c r="G31" s="1">
        <f t="shared" si="0"/>
        <v>0</v>
      </c>
      <c r="H31" s="1"/>
    </row>
    <row r="32" spans="1:8" ht="15" thickBot="1">
      <c r="A32" s="4" t="s">
        <v>201</v>
      </c>
      <c r="B32" s="1"/>
      <c r="C32" s="1"/>
      <c r="D32" s="38">
        <f>SUM(D30:D31)</f>
        <v>403000</v>
      </c>
      <c r="E32" s="38">
        <f>SUM(E30:E31)</f>
        <v>403000</v>
      </c>
      <c r="F32" s="38">
        <f>SUM(F30:F31)</f>
        <v>403000</v>
      </c>
      <c r="G32" s="38">
        <f t="shared" si="0"/>
        <v>1209000</v>
      </c>
      <c r="H32" s="1"/>
    </row>
    <row r="33" spans="1:8">
      <c r="A33" s="4" t="s">
        <v>200</v>
      </c>
      <c r="B33" s="1"/>
      <c r="C33" s="1"/>
      <c r="D33" s="1"/>
      <c r="E33" s="1"/>
      <c r="F33" s="1"/>
      <c r="G33" s="1">
        <f t="shared" si="0"/>
        <v>0</v>
      </c>
      <c r="H33" s="1"/>
    </row>
    <row r="34" spans="1:8">
      <c r="A34" s="15" t="s">
        <v>3</v>
      </c>
      <c r="B34" s="1" t="s">
        <v>187</v>
      </c>
      <c r="C34" s="1">
        <f>5000/D28</f>
        <v>2500</v>
      </c>
      <c r="D34" s="1">
        <f>C34*D28*20</f>
        <v>100000</v>
      </c>
      <c r="E34" s="1">
        <f>C34*E28*20</f>
        <v>100000</v>
      </c>
      <c r="F34" s="1">
        <f>C34*F28*20</f>
        <v>100000</v>
      </c>
      <c r="G34" s="1">
        <f t="shared" si="0"/>
        <v>300000</v>
      </c>
      <c r="H34" s="1"/>
    </row>
    <row r="35" spans="1:8">
      <c r="A35" s="15" t="s">
        <v>80</v>
      </c>
      <c r="B35" s="1" t="s">
        <v>186</v>
      </c>
      <c r="C35" s="1">
        <f>400/2</f>
        <v>200</v>
      </c>
      <c r="D35" s="1">
        <f>C35*D28*200</f>
        <v>80000</v>
      </c>
      <c r="E35" s="1">
        <f>C35*E28*200</f>
        <v>80000</v>
      </c>
      <c r="F35" s="1">
        <f>C35*F28*200</f>
        <v>80000</v>
      </c>
      <c r="G35" s="1">
        <f t="shared" si="0"/>
        <v>240000</v>
      </c>
      <c r="H35" s="1"/>
    </row>
    <row r="36" spans="1:8">
      <c r="A36" s="15" t="s">
        <v>39</v>
      </c>
      <c r="B36" s="1" t="s">
        <v>185</v>
      </c>
      <c r="C36" s="1">
        <v>20000</v>
      </c>
      <c r="D36" s="1">
        <f>C36*3*D28</f>
        <v>120000</v>
      </c>
      <c r="E36" s="1">
        <f>C36*3*E28</f>
        <v>120000</v>
      </c>
      <c r="F36" s="1">
        <f>C36*3*F28</f>
        <v>120000</v>
      </c>
      <c r="G36" s="1">
        <f t="shared" si="0"/>
        <v>360000</v>
      </c>
      <c r="H36" s="1"/>
    </row>
    <row r="37" spans="1:8">
      <c r="A37" s="15" t="s">
        <v>40</v>
      </c>
      <c r="B37" s="1" t="s">
        <v>184</v>
      </c>
      <c r="C37" s="1">
        <f>900/2</f>
        <v>450</v>
      </c>
      <c r="D37" s="1">
        <f>C37*10*D28</f>
        <v>9000</v>
      </c>
      <c r="E37" s="1">
        <f>C37*10*E28</f>
        <v>9000</v>
      </c>
      <c r="F37" s="1">
        <f>C37*10*F28</f>
        <v>9000</v>
      </c>
      <c r="G37" s="1">
        <f t="shared" si="0"/>
        <v>27000</v>
      </c>
      <c r="H37" s="1"/>
    </row>
    <row r="38" spans="1:8">
      <c r="A38" s="15" t="s">
        <v>183</v>
      </c>
      <c r="B38" s="1" t="s">
        <v>182</v>
      </c>
      <c r="C38" s="1">
        <v>500</v>
      </c>
      <c r="D38" s="1">
        <f>C38*2</f>
        <v>1000</v>
      </c>
      <c r="E38" s="1">
        <f>C38*2</f>
        <v>1000</v>
      </c>
      <c r="F38" s="1">
        <f>C38*2</f>
        <v>1000</v>
      </c>
      <c r="G38" s="1">
        <f t="shared" si="0"/>
        <v>3000</v>
      </c>
      <c r="H38" s="1"/>
    </row>
    <row r="39" spans="1:8">
      <c r="A39" s="4" t="s">
        <v>199</v>
      </c>
      <c r="B39" s="2"/>
      <c r="C39" s="2"/>
      <c r="D39" s="41">
        <f>SUM(D34:D38)</f>
        <v>310000</v>
      </c>
      <c r="E39" s="41">
        <f>SUM(E34:E38)</f>
        <v>310000</v>
      </c>
      <c r="F39" s="41">
        <f>SUM(F34:F38)</f>
        <v>310000</v>
      </c>
      <c r="G39" s="41">
        <f t="shared" si="0"/>
        <v>930000</v>
      </c>
      <c r="H39" s="1"/>
    </row>
    <row r="40" spans="1:8" ht="15" thickBot="1">
      <c r="A40" s="15" t="s">
        <v>198</v>
      </c>
      <c r="B40" s="1"/>
      <c r="C40" s="1"/>
      <c r="D40" s="34">
        <f>D32-D39</f>
        <v>93000</v>
      </c>
      <c r="E40" s="34">
        <f>E32-E39</f>
        <v>93000</v>
      </c>
      <c r="F40" s="34">
        <f>F32-F39</f>
        <v>93000</v>
      </c>
      <c r="G40" s="34">
        <f t="shared" si="0"/>
        <v>279000</v>
      </c>
      <c r="H40" s="1"/>
    </row>
    <row r="41" spans="1:8" ht="15" thickTop="1">
      <c r="A41" s="15"/>
      <c r="B41" s="1"/>
      <c r="C41" s="1"/>
      <c r="D41" s="1"/>
      <c r="E41" s="1"/>
      <c r="F41" s="1"/>
      <c r="G41" s="35"/>
      <c r="H41" s="1"/>
    </row>
    <row r="42" spans="1:8">
      <c r="A42" s="15"/>
      <c r="B42" s="1"/>
      <c r="C42" s="1"/>
      <c r="D42" s="1"/>
      <c r="E42" s="1"/>
      <c r="F42" s="1"/>
      <c r="G42" s="35"/>
      <c r="H42" s="1"/>
    </row>
    <row r="43" spans="1:8">
      <c r="A43" s="15"/>
      <c r="B43" s="1"/>
      <c r="C43" s="1"/>
      <c r="D43" s="1"/>
      <c r="E43" s="1"/>
      <c r="F43" s="1"/>
      <c r="G43" s="35"/>
      <c r="H43" s="1"/>
    </row>
    <row r="44" spans="1:8">
      <c r="A44" s="15"/>
      <c r="B44" s="1"/>
      <c r="C44" s="1"/>
      <c r="D44" s="1"/>
      <c r="E44" s="1"/>
      <c r="F44" s="1"/>
      <c r="G44" s="35"/>
      <c r="H44" s="1"/>
    </row>
    <row r="45" spans="1:8">
      <c r="A45" s="15"/>
      <c r="B45" s="1"/>
      <c r="C45" s="1"/>
      <c r="D45" s="1"/>
      <c r="E45" s="1"/>
      <c r="F45" s="1"/>
      <c r="G45" s="35"/>
      <c r="H45" s="1"/>
    </row>
    <row r="46" spans="1:8">
      <c r="A46" s="15"/>
      <c r="B46" s="1"/>
      <c r="C46" s="1"/>
      <c r="D46" s="1"/>
      <c r="E46" s="1"/>
      <c r="F46" s="1"/>
      <c r="G46" s="35"/>
      <c r="H46" s="1"/>
    </row>
    <row r="47" spans="1:8">
      <c r="A47" s="15"/>
      <c r="B47" s="1"/>
      <c r="C47" s="1"/>
      <c r="D47" s="1"/>
      <c r="E47" s="1"/>
      <c r="F47" s="1"/>
      <c r="G47" s="35"/>
      <c r="H47" s="1"/>
    </row>
    <row r="48" spans="1:8">
      <c r="A48" s="15"/>
      <c r="B48" s="1"/>
      <c r="C48" s="1"/>
      <c r="D48" s="1"/>
      <c r="E48" s="1"/>
      <c r="F48" s="1"/>
      <c r="G48" s="35"/>
      <c r="H48" s="1"/>
    </row>
    <row r="49" spans="1:8">
      <c r="A49" s="15"/>
      <c r="B49" s="1"/>
      <c r="C49" s="1"/>
      <c r="D49" s="1"/>
      <c r="E49" s="1"/>
      <c r="F49" s="1"/>
      <c r="G49" s="35"/>
      <c r="H49" s="1"/>
    </row>
    <row r="50" spans="1:8">
      <c r="A50" s="15"/>
      <c r="B50" s="1"/>
      <c r="C50" s="1"/>
      <c r="D50" s="1"/>
      <c r="E50" s="1"/>
      <c r="F50" s="1"/>
      <c r="G50" s="35"/>
      <c r="H50" s="1"/>
    </row>
    <row r="51" spans="1:8">
      <c r="A51" s="15"/>
      <c r="B51" s="1"/>
      <c r="C51" s="1"/>
      <c r="D51" s="1"/>
      <c r="E51" s="1"/>
      <c r="F51" s="1"/>
      <c r="G51" s="35"/>
      <c r="H51" s="1"/>
    </row>
    <row r="52" spans="1:8">
      <c r="A52" s="15"/>
      <c r="B52" s="1"/>
      <c r="C52" s="1"/>
      <c r="D52" s="1"/>
      <c r="E52" s="1"/>
      <c r="F52" s="1"/>
      <c r="G52" s="35"/>
      <c r="H52" s="1"/>
    </row>
    <row r="53" spans="1:8">
      <c r="A53" s="15"/>
      <c r="B53" s="1"/>
      <c r="C53" s="1"/>
      <c r="D53" s="1"/>
      <c r="E53" s="1"/>
      <c r="F53" s="1"/>
      <c r="G53" s="35"/>
      <c r="H53" s="1"/>
    </row>
    <row r="54" spans="1:8">
      <c r="A54" s="15"/>
      <c r="B54" s="1"/>
      <c r="C54" s="1"/>
      <c r="D54" s="1"/>
      <c r="E54" s="1"/>
      <c r="F54" s="1"/>
      <c r="G54" s="35"/>
      <c r="H54" s="1"/>
    </row>
    <row r="55" spans="1:8">
      <c r="A55" s="15"/>
      <c r="B55" s="1"/>
      <c r="C55" s="1"/>
      <c r="D55" s="1"/>
      <c r="E55" s="1"/>
      <c r="F55" s="1"/>
      <c r="G55" s="35"/>
      <c r="H55" s="1"/>
    </row>
    <row r="56" spans="1:8">
      <c r="A56" s="15"/>
      <c r="B56" s="1"/>
      <c r="C56" s="1"/>
      <c r="D56" s="1"/>
      <c r="E56" s="1"/>
      <c r="F56" s="1"/>
      <c r="G56" s="35"/>
      <c r="H56" s="1"/>
    </row>
    <row r="57" spans="1:8">
      <c r="A57" s="15"/>
      <c r="B57" s="1"/>
      <c r="C57" s="1"/>
      <c r="D57" s="1"/>
      <c r="E57" s="1"/>
      <c r="F57" s="1"/>
      <c r="G57" s="35"/>
      <c r="H57" s="1"/>
    </row>
    <row r="58" spans="1:8">
      <c r="A58" s="15"/>
      <c r="B58" s="1"/>
      <c r="C58" s="1"/>
      <c r="D58" s="1"/>
      <c r="E58" s="1"/>
      <c r="F58" s="1"/>
      <c r="G58" s="35"/>
      <c r="H58" s="1"/>
    </row>
    <row r="59" spans="1:8">
      <c r="A59" s="15"/>
      <c r="B59" s="1"/>
      <c r="C59" s="1"/>
      <c r="D59" s="1"/>
      <c r="E59" s="1"/>
      <c r="F59" s="1"/>
      <c r="G59" s="35"/>
      <c r="H59" s="1"/>
    </row>
    <row r="60" spans="1:8">
      <c r="A60" s="15"/>
      <c r="B60" s="1"/>
      <c r="C60" s="1"/>
      <c r="D60" s="1"/>
      <c r="E60" s="1"/>
      <c r="F60" s="1"/>
      <c r="G60" s="35"/>
      <c r="H60" s="1"/>
    </row>
    <row r="61" spans="1:8">
      <c r="B61" s="1"/>
      <c r="C61" s="2" t="s">
        <v>197</v>
      </c>
      <c r="D61" s="1"/>
      <c r="E61" s="1"/>
      <c r="F61" s="1"/>
      <c r="G61" s="35"/>
      <c r="H61" s="1"/>
    </row>
    <row r="62" spans="1:8">
      <c r="A62" s="4" t="s">
        <v>196</v>
      </c>
      <c r="B62" s="2"/>
      <c r="C62" s="2"/>
      <c r="D62" s="40" t="s">
        <v>195</v>
      </c>
      <c r="E62" s="40" t="s">
        <v>194</v>
      </c>
      <c r="F62" s="40" t="s">
        <v>193</v>
      </c>
      <c r="G62" s="39" t="s">
        <v>41</v>
      </c>
      <c r="H62" s="1"/>
    </row>
    <row r="63" spans="1:8">
      <c r="A63" s="4" t="s">
        <v>192</v>
      </c>
      <c r="B63" s="2"/>
      <c r="C63" s="2"/>
      <c r="D63" s="2">
        <v>2</v>
      </c>
      <c r="E63" s="2">
        <v>2</v>
      </c>
      <c r="F63" s="2">
        <v>2</v>
      </c>
      <c r="G63" s="35"/>
      <c r="H63" s="1"/>
    </row>
    <row r="64" spans="1:8">
      <c r="A64" s="4"/>
      <c r="B64" s="2"/>
      <c r="C64" s="2"/>
      <c r="D64" s="2" t="s">
        <v>191</v>
      </c>
      <c r="E64" s="2" t="s">
        <v>191</v>
      </c>
      <c r="F64" s="2" t="s">
        <v>191</v>
      </c>
      <c r="G64" s="36" t="s">
        <v>191</v>
      </c>
      <c r="H64" s="1"/>
    </row>
    <row r="65" spans="1:8">
      <c r="A65" s="4" t="s">
        <v>190</v>
      </c>
      <c r="B65" s="1"/>
      <c r="C65" s="1"/>
      <c r="D65" s="1">
        <v>0</v>
      </c>
      <c r="E65" s="1"/>
      <c r="F65" s="1"/>
      <c r="G65" s="35">
        <f t="shared" ref="G65:G79" si="1">D65+E65+F65</f>
        <v>0</v>
      </c>
      <c r="H65" s="1"/>
    </row>
    <row r="66" spans="1:8">
      <c r="A66" t="s">
        <v>257</v>
      </c>
      <c r="B66" s="1"/>
      <c r="C66" s="1"/>
      <c r="D66" s="1"/>
      <c r="E66" s="1">
        <f>D30</f>
        <v>403000</v>
      </c>
      <c r="F66" s="1">
        <f>E32</f>
        <v>403000</v>
      </c>
      <c r="G66" s="35">
        <f t="shared" si="1"/>
        <v>806000</v>
      </c>
      <c r="H66" s="1"/>
    </row>
    <row r="67" spans="1:8">
      <c r="A67" s="15" t="s">
        <v>189</v>
      </c>
      <c r="B67" s="1"/>
      <c r="C67" s="1"/>
      <c r="D67" s="1">
        <v>0</v>
      </c>
      <c r="E67" s="1">
        <v>0</v>
      </c>
      <c r="F67" s="1">
        <v>0</v>
      </c>
      <c r="G67" s="35">
        <f t="shared" si="1"/>
        <v>0</v>
      </c>
      <c r="H67" s="1"/>
    </row>
    <row r="68" spans="1:8" ht="15" thickBot="1">
      <c r="A68" s="4" t="s">
        <v>188</v>
      </c>
      <c r="B68" s="1"/>
      <c r="C68" s="1"/>
      <c r="D68" s="38">
        <f>SUM(D65:D67)</f>
        <v>0</v>
      </c>
      <c r="E68" s="38">
        <f>SUM(E65:E67)</f>
        <v>403000</v>
      </c>
      <c r="F68" s="38">
        <f>SUM(F65:F67)</f>
        <v>403000</v>
      </c>
      <c r="G68" s="38">
        <f t="shared" si="1"/>
        <v>806000</v>
      </c>
      <c r="H68" s="1"/>
    </row>
    <row r="69" spans="1:8">
      <c r="A69" s="15"/>
      <c r="B69" s="1"/>
      <c r="C69" s="1"/>
      <c r="D69" s="1"/>
      <c r="E69" s="1"/>
      <c r="F69" s="1"/>
      <c r="G69" s="35">
        <f t="shared" si="1"/>
        <v>0</v>
      </c>
      <c r="H69" s="1"/>
    </row>
    <row r="70" spans="1:8">
      <c r="A70" s="4" t="s">
        <v>136</v>
      </c>
      <c r="B70" s="1"/>
      <c r="C70" s="1"/>
      <c r="D70" s="1"/>
      <c r="E70" s="1"/>
      <c r="F70" s="1"/>
      <c r="G70" s="35">
        <f t="shared" si="1"/>
        <v>0</v>
      </c>
      <c r="H70" s="1"/>
    </row>
    <row r="71" spans="1:8">
      <c r="A71" s="15" t="s">
        <v>3</v>
      </c>
      <c r="B71" s="1" t="s">
        <v>187</v>
      </c>
      <c r="C71" s="1"/>
      <c r="D71" s="1">
        <f t="shared" ref="D71:F75" si="2">D34</f>
        <v>100000</v>
      </c>
      <c r="E71" s="1">
        <f t="shared" si="2"/>
        <v>100000</v>
      </c>
      <c r="F71" s="1">
        <f t="shared" si="2"/>
        <v>100000</v>
      </c>
      <c r="G71" s="35">
        <f t="shared" si="1"/>
        <v>300000</v>
      </c>
      <c r="H71" s="1"/>
    </row>
    <row r="72" spans="1:8">
      <c r="A72" s="15" t="s">
        <v>80</v>
      </c>
      <c r="B72" s="1" t="s">
        <v>186</v>
      </c>
      <c r="C72" s="1"/>
      <c r="D72" s="1">
        <f t="shared" si="2"/>
        <v>80000</v>
      </c>
      <c r="E72" s="1">
        <f t="shared" si="2"/>
        <v>80000</v>
      </c>
      <c r="F72" s="1">
        <f t="shared" si="2"/>
        <v>80000</v>
      </c>
      <c r="G72" s="35">
        <f t="shared" si="1"/>
        <v>240000</v>
      </c>
      <c r="H72" s="1"/>
    </row>
    <row r="73" spans="1:8">
      <c r="A73" s="15" t="s">
        <v>39</v>
      </c>
      <c r="B73" s="1" t="s">
        <v>185</v>
      </c>
      <c r="C73" s="1"/>
      <c r="D73" s="1">
        <f t="shared" si="2"/>
        <v>120000</v>
      </c>
      <c r="E73" s="1">
        <f t="shared" si="2"/>
        <v>120000</v>
      </c>
      <c r="F73" s="1">
        <f t="shared" si="2"/>
        <v>120000</v>
      </c>
      <c r="G73" s="35">
        <f t="shared" si="1"/>
        <v>360000</v>
      </c>
      <c r="H73" s="1"/>
    </row>
    <row r="74" spans="1:8">
      <c r="A74" s="15" t="s">
        <v>40</v>
      </c>
      <c r="B74" s="1" t="s">
        <v>184</v>
      </c>
      <c r="C74" s="1"/>
      <c r="D74" s="1">
        <f t="shared" si="2"/>
        <v>9000</v>
      </c>
      <c r="E74" s="1">
        <f t="shared" si="2"/>
        <v>9000</v>
      </c>
      <c r="F74" s="1">
        <f t="shared" si="2"/>
        <v>9000</v>
      </c>
      <c r="G74" s="35">
        <f t="shared" si="1"/>
        <v>27000</v>
      </c>
      <c r="H74" s="1"/>
    </row>
    <row r="75" spans="1:8">
      <c r="A75" s="15" t="s">
        <v>183</v>
      </c>
      <c r="B75" s="1" t="s">
        <v>182</v>
      </c>
      <c r="C75" s="1"/>
      <c r="D75" s="1">
        <f t="shared" si="2"/>
        <v>1000</v>
      </c>
      <c r="E75" s="1">
        <f t="shared" si="2"/>
        <v>1000</v>
      </c>
      <c r="F75" s="1">
        <f t="shared" si="2"/>
        <v>1000</v>
      </c>
      <c r="G75" s="35">
        <f t="shared" si="1"/>
        <v>3000</v>
      </c>
      <c r="H75" s="1"/>
    </row>
    <row r="76" spans="1:8" ht="15" thickBot="1">
      <c r="A76" s="4" t="s">
        <v>181</v>
      </c>
      <c r="B76" s="2"/>
      <c r="C76" s="1"/>
      <c r="D76" s="38">
        <f>SUM(D71:D75)</f>
        <v>310000</v>
      </c>
      <c r="E76" s="38">
        <f>SUM(E71:E75)</f>
        <v>310000</v>
      </c>
      <c r="F76" s="38">
        <f>SUM(F71:F75)</f>
        <v>310000</v>
      </c>
      <c r="G76" s="38">
        <f t="shared" si="1"/>
        <v>930000</v>
      </c>
      <c r="H76" s="1"/>
    </row>
    <row r="77" spans="1:8">
      <c r="A77" t="s">
        <v>180</v>
      </c>
      <c r="B77" s="1"/>
      <c r="C77" s="1"/>
      <c r="D77" s="1">
        <f>D68-D76</f>
        <v>-310000</v>
      </c>
      <c r="E77" s="1">
        <f>E68-E76</f>
        <v>93000</v>
      </c>
      <c r="F77" s="1">
        <f>F68-F76</f>
        <v>93000</v>
      </c>
      <c r="G77" s="35">
        <f t="shared" si="1"/>
        <v>-124000</v>
      </c>
      <c r="H77" s="1"/>
    </row>
    <row r="78" spans="1:8">
      <c r="A78" t="s">
        <v>139</v>
      </c>
      <c r="B78" s="1"/>
      <c r="C78" s="1"/>
      <c r="D78" s="1">
        <v>0</v>
      </c>
      <c r="E78" s="1">
        <f>D79</f>
        <v>-310000</v>
      </c>
      <c r="F78" s="1">
        <f>E79</f>
        <v>-217000</v>
      </c>
      <c r="G78" s="35">
        <f t="shared" si="1"/>
        <v>-527000</v>
      </c>
      <c r="H78" s="1"/>
    </row>
    <row r="79" spans="1:8" ht="15" thickBot="1">
      <c r="A79" s="4" t="s">
        <v>140</v>
      </c>
      <c r="B79" s="1"/>
      <c r="C79" s="1"/>
      <c r="D79" s="38">
        <f>SUM(D77:D78)</f>
        <v>-310000</v>
      </c>
      <c r="E79" s="38">
        <f>SUM(E77:E78)</f>
        <v>-217000</v>
      </c>
      <c r="F79" s="38">
        <f>SUM(F77:F78)</f>
        <v>-124000</v>
      </c>
      <c r="G79" s="38">
        <f t="shared" si="1"/>
        <v>-651000</v>
      </c>
      <c r="H79" s="1"/>
    </row>
    <row r="80" spans="1:8">
      <c r="B80" s="1"/>
      <c r="C80" s="1"/>
      <c r="D80" s="1"/>
      <c r="E80" s="1"/>
      <c r="F80" s="1"/>
      <c r="G80" s="35"/>
      <c r="H80" s="1"/>
    </row>
    <row r="81" spans="2:8">
      <c r="B81" s="1"/>
      <c r="C81" s="1"/>
      <c r="D81" s="1"/>
      <c r="E81" s="1"/>
      <c r="F81" s="1"/>
      <c r="G81" s="35"/>
      <c r="H81" s="1"/>
    </row>
    <row r="82" spans="2:8">
      <c r="B82" s="1"/>
      <c r="C82" s="1"/>
      <c r="D82" s="1"/>
      <c r="E82" s="1"/>
      <c r="F82" s="1"/>
      <c r="G82" s="1"/>
      <c r="H82" s="1"/>
    </row>
    <row r="83" spans="2:8">
      <c r="B83" s="1"/>
      <c r="C83" s="1"/>
      <c r="D83" s="1"/>
      <c r="E83" s="1"/>
      <c r="F83" s="1"/>
      <c r="G83" s="1"/>
      <c r="H83" s="1"/>
    </row>
  </sheetData>
  <pageMargins left="0.7" right="0.7" top="0.75" bottom="0.75" header="0.3" footer="0.3"/>
  <pageSetup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9"/>
  <sheetViews>
    <sheetView topLeftCell="A10" workbookViewId="0">
      <selection sqref="A1:E1"/>
    </sheetView>
  </sheetViews>
  <sheetFormatPr baseColWidth="10" defaultColWidth="8.83203125" defaultRowHeight="14" x14ac:dyDescent="0"/>
  <cols>
    <col min="1" max="2" width="29.33203125" customWidth="1"/>
    <col min="3" max="3" width="17" customWidth="1"/>
    <col min="4" max="5" width="17.5" customWidth="1"/>
    <col min="6" max="6" width="7.33203125" customWidth="1"/>
    <col min="7" max="7" width="19.5" customWidth="1"/>
  </cols>
  <sheetData>
    <row r="1" spans="1:7" ht="18">
      <c r="A1" s="101" t="s">
        <v>171</v>
      </c>
      <c r="B1" s="101"/>
      <c r="C1" s="101"/>
      <c r="D1" s="101"/>
      <c r="E1" s="101"/>
      <c r="F1" s="42"/>
      <c r="G1" s="42"/>
    </row>
    <row r="2" spans="1:7" ht="18">
      <c r="A2" s="50" t="s">
        <v>162</v>
      </c>
      <c r="B2" s="50"/>
      <c r="C2" s="50" t="s">
        <v>163</v>
      </c>
      <c r="D2" s="50" t="s">
        <v>164</v>
      </c>
      <c r="E2" s="50" t="s">
        <v>165</v>
      </c>
      <c r="F2" s="42"/>
      <c r="G2" s="42"/>
    </row>
    <row r="3" spans="1:7" ht="18">
      <c r="A3" s="47" t="s">
        <v>205</v>
      </c>
      <c r="B3" s="47" t="s">
        <v>174</v>
      </c>
      <c r="C3" s="48">
        <v>2500</v>
      </c>
      <c r="D3" s="48">
        <v>20000</v>
      </c>
      <c r="E3" s="48">
        <f>C3*D3</f>
        <v>50000000</v>
      </c>
      <c r="F3" s="42"/>
      <c r="G3" s="42"/>
    </row>
    <row r="4" spans="1:7" ht="18">
      <c r="A4" s="47" t="s">
        <v>166</v>
      </c>
      <c r="B4" s="47" t="s">
        <v>204</v>
      </c>
      <c r="C4" s="47">
        <v>450</v>
      </c>
      <c r="D4" s="47">
        <v>10000</v>
      </c>
      <c r="E4" s="48">
        <f t="shared" ref="E4:E7" si="0">C4*D4</f>
        <v>4500000</v>
      </c>
      <c r="F4" s="42"/>
      <c r="G4" s="42"/>
    </row>
    <row r="5" spans="1:7" ht="18">
      <c r="A5" s="47" t="s">
        <v>206</v>
      </c>
      <c r="B5" s="47" t="s">
        <v>176</v>
      </c>
      <c r="C5" s="47">
        <v>200</v>
      </c>
      <c r="D5" s="47">
        <v>200000</v>
      </c>
      <c r="E5" s="48">
        <f t="shared" si="0"/>
        <v>40000000</v>
      </c>
      <c r="F5" s="42"/>
      <c r="G5" s="42"/>
    </row>
    <row r="6" spans="1:7" ht="18">
      <c r="A6" s="47" t="s">
        <v>167</v>
      </c>
      <c r="B6" s="73" t="s">
        <v>177</v>
      </c>
      <c r="C6" s="47">
        <v>20000</v>
      </c>
      <c r="D6" s="47">
        <v>3000</v>
      </c>
      <c r="E6" s="48">
        <f t="shared" si="0"/>
        <v>60000000</v>
      </c>
      <c r="F6" s="42"/>
      <c r="G6" s="42"/>
    </row>
    <row r="7" spans="1:7" ht="18">
      <c r="A7" s="47" t="s">
        <v>208</v>
      </c>
      <c r="B7" s="73" t="s">
        <v>178</v>
      </c>
      <c r="C7" s="47">
        <v>2</v>
      </c>
      <c r="D7" s="47">
        <v>500000</v>
      </c>
      <c r="E7" s="48">
        <f t="shared" si="0"/>
        <v>1000000</v>
      </c>
      <c r="F7" s="42"/>
      <c r="G7" s="42"/>
    </row>
    <row r="8" spans="1:7" ht="18">
      <c r="A8" s="47"/>
      <c r="B8" s="47"/>
      <c r="C8" s="74"/>
      <c r="D8" s="47"/>
      <c r="E8" s="48"/>
      <c r="F8" s="42"/>
      <c r="G8" s="42"/>
    </row>
    <row r="9" spans="1:7" ht="21">
      <c r="A9" s="50" t="s">
        <v>168</v>
      </c>
      <c r="B9" s="47"/>
      <c r="C9" s="47"/>
      <c r="D9" s="47"/>
      <c r="E9" s="75">
        <f>SUM(E3:E8)</f>
        <v>155500000</v>
      </c>
      <c r="F9" s="42"/>
      <c r="G9" s="42"/>
    </row>
    <row r="10" spans="1:7" ht="18">
      <c r="A10" s="47" t="s">
        <v>170</v>
      </c>
      <c r="B10" s="47"/>
      <c r="C10" s="74">
        <v>0.3</v>
      </c>
      <c r="D10" s="47"/>
      <c r="E10" s="48">
        <f>C10*E9</f>
        <v>46650000</v>
      </c>
      <c r="F10" s="42"/>
      <c r="G10" s="42"/>
    </row>
    <row r="11" spans="1:7" ht="21">
      <c r="A11" s="50" t="s">
        <v>169</v>
      </c>
      <c r="B11" s="47"/>
      <c r="C11" s="47"/>
      <c r="D11" s="47"/>
      <c r="E11" s="76">
        <f>SUM(E9:E10)</f>
        <v>202150000</v>
      </c>
      <c r="F11" s="42"/>
      <c r="G11" s="42"/>
    </row>
    <row r="12" spans="1:7" ht="18">
      <c r="A12" s="47"/>
      <c r="B12" s="47"/>
      <c r="C12" s="47"/>
      <c r="D12" s="47"/>
      <c r="E12" s="47"/>
      <c r="F12" s="42"/>
      <c r="G12" s="42"/>
    </row>
    <row r="13" spans="1:7" ht="18">
      <c r="A13" s="42"/>
      <c r="B13" s="42"/>
      <c r="C13" s="42"/>
      <c r="D13" s="42"/>
      <c r="E13" s="42"/>
      <c r="F13" s="42"/>
      <c r="G13" s="42"/>
    </row>
    <row r="14" spans="1:7" ht="18">
      <c r="A14" s="42"/>
      <c r="B14" s="65" t="s">
        <v>179</v>
      </c>
      <c r="C14" s="42"/>
      <c r="D14" s="42"/>
      <c r="E14" s="42"/>
      <c r="F14" s="42"/>
      <c r="G14" s="42"/>
    </row>
    <row r="15" spans="1:7" ht="18">
      <c r="A15" s="50" t="s">
        <v>162</v>
      </c>
      <c r="B15" s="50"/>
      <c r="C15" s="50" t="s">
        <v>163</v>
      </c>
      <c r="D15" s="50" t="s">
        <v>164</v>
      </c>
      <c r="E15" s="50" t="s">
        <v>173</v>
      </c>
      <c r="F15" s="77" t="s">
        <v>172</v>
      </c>
      <c r="G15" s="47"/>
    </row>
    <row r="16" spans="1:7" ht="18">
      <c r="A16" s="47" t="s">
        <v>205</v>
      </c>
      <c r="B16" s="47" t="s">
        <v>174</v>
      </c>
      <c r="C16" s="48">
        <f>C3</f>
        <v>2500</v>
      </c>
      <c r="D16" s="48">
        <f>D3</f>
        <v>20000</v>
      </c>
      <c r="E16" s="48">
        <f>C16*D16</f>
        <v>50000000</v>
      </c>
      <c r="F16" s="47">
        <v>5</v>
      </c>
      <c r="G16" s="51">
        <f>E16*F16</f>
        <v>250000000</v>
      </c>
    </row>
    <row r="17" spans="1:7" ht="18">
      <c r="A17" s="47" t="s">
        <v>166</v>
      </c>
      <c r="B17" s="47" t="s">
        <v>175</v>
      </c>
      <c r="C17" s="47">
        <f>C4</f>
        <v>450</v>
      </c>
      <c r="D17" s="47">
        <f>D4</f>
        <v>10000</v>
      </c>
      <c r="E17" s="48">
        <f t="shared" ref="E17:E20" si="1">C17*D17</f>
        <v>4500000</v>
      </c>
      <c r="F17" s="47">
        <v>5</v>
      </c>
      <c r="G17" s="51">
        <f t="shared" ref="G17:G20" si="2">E17*F17</f>
        <v>22500000</v>
      </c>
    </row>
    <row r="18" spans="1:7" ht="18">
      <c r="A18" s="47" t="s">
        <v>206</v>
      </c>
      <c r="B18" s="47" t="s">
        <v>176</v>
      </c>
      <c r="C18" s="47">
        <f>C5</f>
        <v>200</v>
      </c>
      <c r="D18" s="47">
        <v>200000</v>
      </c>
      <c r="E18" s="48">
        <f t="shared" si="1"/>
        <v>40000000</v>
      </c>
      <c r="F18" s="47">
        <v>5</v>
      </c>
      <c r="G18" s="51">
        <f t="shared" si="2"/>
        <v>200000000</v>
      </c>
    </row>
    <row r="19" spans="1:7" ht="18">
      <c r="A19" s="47" t="s">
        <v>207</v>
      </c>
      <c r="B19" s="73" t="s">
        <v>177</v>
      </c>
      <c r="C19" s="47">
        <f>C6</f>
        <v>20000</v>
      </c>
      <c r="D19" s="47">
        <f>D6</f>
        <v>3000</v>
      </c>
      <c r="E19" s="48">
        <f t="shared" si="1"/>
        <v>60000000</v>
      </c>
      <c r="F19" s="47">
        <v>5</v>
      </c>
      <c r="G19" s="51">
        <f t="shared" si="2"/>
        <v>300000000</v>
      </c>
    </row>
    <row r="20" spans="1:7" ht="18">
      <c r="A20" s="47" t="s">
        <v>208</v>
      </c>
      <c r="B20" s="73" t="s">
        <v>178</v>
      </c>
      <c r="C20" s="47">
        <v>2</v>
      </c>
      <c r="D20" s="47">
        <v>500000</v>
      </c>
      <c r="E20" s="48">
        <f t="shared" si="1"/>
        <v>1000000</v>
      </c>
      <c r="F20" s="47">
        <v>3</v>
      </c>
      <c r="G20" s="51">
        <f t="shared" si="2"/>
        <v>3000000</v>
      </c>
    </row>
    <row r="21" spans="1:7" ht="18">
      <c r="A21" s="47"/>
      <c r="B21" s="47"/>
      <c r="C21" s="74"/>
      <c r="D21" s="47"/>
      <c r="E21" s="48"/>
      <c r="F21" s="47"/>
      <c r="G21" s="51"/>
    </row>
    <row r="22" spans="1:7" ht="21">
      <c r="A22" s="50" t="s">
        <v>168</v>
      </c>
      <c r="B22" s="47"/>
      <c r="C22" s="47"/>
      <c r="D22" s="47"/>
      <c r="E22" s="75">
        <f>SUM(E16:E21)</f>
        <v>155500000</v>
      </c>
      <c r="F22" s="47"/>
      <c r="G22" s="78">
        <f>SUM(G16:G21)</f>
        <v>775500000</v>
      </c>
    </row>
    <row r="23" spans="1:7" ht="18">
      <c r="A23" s="47" t="s">
        <v>170</v>
      </c>
      <c r="B23" s="47"/>
      <c r="C23" s="74">
        <v>0.3</v>
      </c>
      <c r="D23" s="47"/>
      <c r="E23" s="48">
        <f>E22*C23</f>
        <v>46650000</v>
      </c>
      <c r="F23" s="47"/>
      <c r="G23" s="51">
        <f>C23*G22</f>
        <v>232650000</v>
      </c>
    </row>
    <row r="24" spans="1:7" ht="21">
      <c r="A24" s="50" t="s">
        <v>169</v>
      </c>
      <c r="B24" s="47"/>
      <c r="C24" s="47"/>
      <c r="D24" s="47"/>
      <c r="E24" s="75">
        <f>SUM(E22:E23)</f>
        <v>202150000</v>
      </c>
      <c r="F24" s="47"/>
      <c r="G24" s="78">
        <f>SUM(G22:G23)</f>
        <v>1008150000</v>
      </c>
    </row>
    <row r="25" spans="1:7">
      <c r="A25" s="37"/>
      <c r="B25" s="37"/>
      <c r="C25" s="37"/>
      <c r="D25" s="37"/>
      <c r="E25" s="37"/>
      <c r="F25" s="37"/>
      <c r="G25" s="79"/>
    </row>
    <row r="26" spans="1:7">
      <c r="A26" s="37"/>
      <c r="B26" s="37"/>
      <c r="C26" s="37"/>
      <c r="D26" s="37"/>
      <c r="E26" s="37"/>
      <c r="F26" s="37"/>
      <c r="G26" s="37"/>
    </row>
    <row r="27" spans="1:7">
      <c r="A27" s="37"/>
      <c r="B27" s="37"/>
      <c r="C27" s="37"/>
      <c r="D27" s="37"/>
      <c r="E27" s="37"/>
      <c r="F27" s="37"/>
      <c r="G27" s="37"/>
    </row>
    <row r="28" spans="1:7">
      <c r="A28" s="37"/>
      <c r="B28" s="37"/>
      <c r="C28" s="37"/>
      <c r="D28" s="37"/>
      <c r="E28" s="37"/>
      <c r="F28" s="37"/>
      <c r="G28" s="37"/>
    </row>
    <row r="29" spans="1:7">
      <c r="A29" s="37"/>
      <c r="B29" s="37"/>
      <c r="C29" s="37"/>
      <c r="D29" s="37"/>
      <c r="E29" s="37"/>
      <c r="F29" s="37"/>
      <c r="G29" s="37"/>
    </row>
  </sheetData>
  <mergeCells count="1">
    <mergeCell ref="A1:E1"/>
  </mergeCells>
  <pageMargins left="0.7" right="0.7" top="0.75" bottom="0.75" header="0.3" footer="0.3"/>
  <pageSetup orientation="portrait" horizontalDpi="300" verticalDpi="3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24"/>
  <sheetViews>
    <sheetView workbookViewId="0">
      <selection activeCell="G18" sqref="G18"/>
    </sheetView>
  </sheetViews>
  <sheetFormatPr baseColWidth="10" defaultColWidth="8.83203125" defaultRowHeight="14" x14ac:dyDescent="0"/>
  <cols>
    <col min="1" max="1" width="30.5" customWidth="1"/>
    <col min="2" max="2" width="24" style="1" customWidth="1"/>
    <col min="3" max="3" width="22.5" style="1" customWidth="1"/>
    <col min="4" max="4" width="17.5" style="43" customWidth="1"/>
    <col min="5" max="5" width="14.1640625" style="43" customWidth="1"/>
    <col min="6" max="6" width="30" style="43" customWidth="1"/>
    <col min="7" max="7" width="11.33203125" customWidth="1"/>
    <col min="8" max="8" width="12.6640625" customWidth="1"/>
    <col min="9" max="9" width="15.83203125" style="1" customWidth="1"/>
    <col min="10" max="10" width="13.5" customWidth="1"/>
    <col min="11" max="11" width="20.33203125" style="1" customWidth="1"/>
  </cols>
  <sheetData>
    <row r="2" spans="1:11" ht="18">
      <c r="A2" s="102" t="s">
        <v>231</v>
      </c>
      <c r="B2" s="103"/>
      <c r="C2" s="103"/>
      <c r="D2" s="103"/>
      <c r="E2" s="104"/>
      <c r="F2" s="44"/>
      <c r="G2" s="42"/>
      <c r="H2" s="42"/>
      <c r="I2" s="66"/>
      <c r="J2" s="42"/>
      <c r="K2" s="66"/>
    </row>
    <row r="3" spans="1:11" ht="18">
      <c r="A3" s="47"/>
      <c r="B3" s="48"/>
      <c r="C3" s="48"/>
      <c r="D3" s="49"/>
      <c r="E3" s="49"/>
      <c r="F3" s="44"/>
      <c r="G3" s="101" t="s">
        <v>219</v>
      </c>
      <c r="H3" s="101"/>
      <c r="I3" s="101"/>
      <c r="J3" s="101"/>
      <c r="K3" s="101"/>
    </row>
    <row r="4" spans="1:11" ht="18">
      <c r="A4" s="50" t="s">
        <v>162</v>
      </c>
      <c r="B4" s="61" t="s">
        <v>214</v>
      </c>
      <c r="C4" s="61" t="s">
        <v>216</v>
      </c>
      <c r="D4" s="62" t="s">
        <v>215</v>
      </c>
      <c r="E4" s="62" t="s">
        <v>220</v>
      </c>
      <c r="F4" s="45"/>
      <c r="G4" s="50" t="s">
        <v>37</v>
      </c>
      <c r="H4" s="50" t="s">
        <v>38</v>
      </c>
      <c r="I4" s="67" t="s">
        <v>209</v>
      </c>
      <c r="J4" s="47"/>
      <c r="K4" s="67" t="s">
        <v>165</v>
      </c>
    </row>
    <row r="5" spans="1:11" ht="18">
      <c r="A5" s="50"/>
      <c r="B5" s="48"/>
      <c r="C5" s="48"/>
      <c r="D5" s="49"/>
      <c r="E5" s="49"/>
      <c r="F5" s="44"/>
      <c r="G5" s="47"/>
      <c r="H5" s="47"/>
      <c r="I5" s="48"/>
      <c r="J5" s="47"/>
      <c r="K5" s="67"/>
    </row>
    <row r="6" spans="1:11" ht="18">
      <c r="A6" s="47" t="s">
        <v>235</v>
      </c>
      <c r="B6" s="48">
        <v>300000000</v>
      </c>
      <c r="C6" s="48">
        <v>308000000</v>
      </c>
      <c r="D6" s="84">
        <f>B6-C6</f>
        <v>-8000000</v>
      </c>
      <c r="E6" s="52" t="s">
        <v>221</v>
      </c>
      <c r="F6" s="71" t="s">
        <v>240</v>
      </c>
      <c r="G6" s="47">
        <v>20000</v>
      </c>
      <c r="H6" s="57">
        <v>22000</v>
      </c>
      <c r="I6" s="48">
        <f t="shared" ref="I6:I14" si="0">G6-H6</f>
        <v>-2000</v>
      </c>
      <c r="J6" s="47">
        <v>14000</v>
      </c>
      <c r="K6" s="82">
        <f>J6*I6</f>
        <v>-28000000</v>
      </c>
    </row>
    <row r="7" spans="1:11" ht="18">
      <c r="A7" s="58"/>
      <c r="B7" s="59"/>
      <c r="C7" s="59"/>
      <c r="D7" s="52">
        <f t="shared" ref="D7:D13" si="1">B7-C7</f>
        <v>0</v>
      </c>
      <c r="E7" s="60"/>
      <c r="F7" s="71" t="s">
        <v>217</v>
      </c>
      <c r="G7" s="47">
        <v>15000</v>
      </c>
      <c r="H7" s="47">
        <v>14000</v>
      </c>
      <c r="I7" s="48">
        <f t="shared" si="0"/>
        <v>1000</v>
      </c>
      <c r="J7" s="47">
        <v>20000</v>
      </c>
      <c r="K7" s="82">
        <f t="shared" ref="K7:K14" si="2">J7*I7</f>
        <v>20000000</v>
      </c>
    </row>
    <row r="8" spans="1:11" ht="18">
      <c r="A8" s="47" t="s">
        <v>232</v>
      </c>
      <c r="B8" s="48">
        <v>27000000</v>
      </c>
      <c r="C8" s="48">
        <v>27000000</v>
      </c>
      <c r="D8" s="88">
        <f t="shared" si="1"/>
        <v>0</v>
      </c>
      <c r="E8" s="52"/>
      <c r="F8" s="71" t="s">
        <v>210</v>
      </c>
      <c r="G8" s="47">
        <v>10000</v>
      </c>
      <c r="H8" s="47">
        <v>9000</v>
      </c>
      <c r="I8" s="48">
        <f t="shared" si="0"/>
        <v>1000</v>
      </c>
      <c r="J8" s="47">
        <v>3000</v>
      </c>
      <c r="K8" s="83">
        <f t="shared" si="2"/>
        <v>3000000</v>
      </c>
    </row>
    <row r="9" spans="1:11" ht="18">
      <c r="A9" s="58"/>
      <c r="B9" s="59"/>
      <c r="C9" s="59"/>
      <c r="D9" s="52">
        <f t="shared" si="1"/>
        <v>0</v>
      </c>
      <c r="E9" s="52"/>
      <c r="F9" s="71" t="s">
        <v>218</v>
      </c>
      <c r="G9" s="47">
        <v>2700</v>
      </c>
      <c r="H9" s="47">
        <v>3000</v>
      </c>
      <c r="I9" s="48">
        <f t="shared" si="0"/>
        <v>-300</v>
      </c>
      <c r="J9" s="47">
        <v>10000</v>
      </c>
      <c r="K9" s="83">
        <f t="shared" si="2"/>
        <v>-3000000</v>
      </c>
    </row>
    <row r="10" spans="1:11" ht="18">
      <c r="A10" s="47" t="s">
        <v>233</v>
      </c>
      <c r="B10" s="48">
        <v>240000000</v>
      </c>
      <c r="C10" s="48">
        <v>270000000</v>
      </c>
      <c r="D10" s="85">
        <f t="shared" si="1"/>
        <v>-30000000</v>
      </c>
      <c r="E10" s="52" t="s">
        <v>221</v>
      </c>
      <c r="F10" s="71" t="s">
        <v>211</v>
      </c>
      <c r="G10" s="47">
        <v>200000</v>
      </c>
      <c r="H10" s="47">
        <v>180000</v>
      </c>
      <c r="I10" s="48">
        <f t="shared" si="0"/>
        <v>20000</v>
      </c>
      <c r="J10" s="47">
        <v>1500</v>
      </c>
      <c r="K10" s="80">
        <f t="shared" si="2"/>
        <v>30000000</v>
      </c>
    </row>
    <row r="11" spans="1:11" ht="18">
      <c r="A11" s="58"/>
      <c r="B11" s="59"/>
      <c r="C11" s="59"/>
      <c r="D11" s="87">
        <f t="shared" si="1"/>
        <v>0</v>
      </c>
      <c r="E11" s="60"/>
      <c r="F11" s="71" t="s">
        <v>212</v>
      </c>
      <c r="G11" s="47">
        <v>1200</v>
      </c>
      <c r="H11" s="47">
        <v>1500</v>
      </c>
      <c r="I11" s="48">
        <f t="shared" si="0"/>
        <v>-300</v>
      </c>
      <c r="J11" s="47">
        <v>200000</v>
      </c>
      <c r="K11" s="80">
        <f t="shared" si="2"/>
        <v>-60000000</v>
      </c>
    </row>
    <row r="12" spans="1:11" ht="18">
      <c r="A12" s="47" t="s">
        <v>234</v>
      </c>
      <c r="B12" s="48">
        <v>360000000</v>
      </c>
      <c r="C12" s="48">
        <v>392000000</v>
      </c>
      <c r="D12" s="86">
        <f t="shared" si="1"/>
        <v>-32000000</v>
      </c>
      <c r="E12" s="52" t="s">
        <v>221</v>
      </c>
      <c r="F12" s="71" t="s">
        <v>213</v>
      </c>
      <c r="G12" s="47">
        <v>3000</v>
      </c>
      <c r="H12" s="47">
        <v>2800</v>
      </c>
      <c r="I12" s="48">
        <f t="shared" si="0"/>
        <v>200</v>
      </c>
      <c r="J12" s="47">
        <v>140000</v>
      </c>
      <c r="K12" s="81">
        <f t="shared" si="2"/>
        <v>28000000</v>
      </c>
    </row>
    <row r="13" spans="1:11" ht="18">
      <c r="A13" s="69" t="s">
        <v>237</v>
      </c>
      <c r="B13" s="72">
        <v>3000000</v>
      </c>
      <c r="C13" s="72">
        <v>3000000</v>
      </c>
      <c r="D13" s="52">
        <f t="shared" si="1"/>
        <v>0</v>
      </c>
      <c r="E13" s="60"/>
      <c r="F13" s="71" t="s">
        <v>236</v>
      </c>
      <c r="G13" s="47">
        <v>150000</v>
      </c>
      <c r="H13" s="47">
        <v>140000</v>
      </c>
      <c r="I13" s="48">
        <f t="shared" si="0"/>
        <v>10000</v>
      </c>
      <c r="J13" s="47">
        <v>3000</v>
      </c>
      <c r="K13" s="81">
        <f t="shared" si="2"/>
        <v>30000000</v>
      </c>
    </row>
    <row r="14" spans="1:11" ht="18">
      <c r="A14" s="50" t="s">
        <v>239</v>
      </c>
      <c r="B14" s="67">
        <f>SUM(B6:B13)</f>
        <v>930000000</v>
      </c>
      <c r="C14" s="67">
        <f>SUM(C6:C13)</f>
        <v>1000000000</v>
      </c>
      <c r="D14" s="54">
        <f>SUM(D6:D13)</f>
        <v>-70000000</v>
      </c>
      <c r="E14" s="54" t="s">
        <v>221</v>
      </c>
      <c r="F14" s="70" t="s">
        <v>238</v>
      </c>
      <c r="G14" s="47">
        <v>120000</v>
      </c>
      <c r="H14" s="47">
        <v>150000</v>
      </c>
      <c r="I14" s="48">
        <f t="shared" si="0"/>
        <v>-30000</v>
      </c>
      <c r="J14" s="47">
        <v>3000</v>
      </c>
      <c r="K14" s="81">
        <f t="shared" si="2"/>
        <v>-90000000</v>
      </c>
    </row>
    <row r="15" spans="1:11" ht="18">
      <c r="A15" s="50"/>
      <c r="B15" s="67"/>
      <c r="C15" s="67"/>
      <c r="D15" s="54"/>
      <c r="E15" s="54"/>
      <c r="F15" s="70"/>
      <c r="G15" s="47"/>
      <c r="H15" s="47"/>
      <c r="I15" s="48"/>
      <c r="J15" s="47"/>
      <c r="K15" s="81"/>
    </row>
    <row r="16" spans="1:11" ht="18">
      <c r="A16" s="37" t="s">
        <v>241</v>
      </c>
      <c r="B16" s="48">
        <v>1209000000</v>
      </c>
      <c r="C16" s="48">
        <v>1209000000</v>
      </c>
      <c r="D16" s="55"/>
      <c r="E16" s="55"/>
      <c r="F16" s="56"/>
      <c r="G16" s="37"/>
      <c r="H16" s="37"/>
      <c r="I16" s="53"/>
      <c r="J16" s="37"/>
      <c r="K16" s="68">
        <f>SUM(K6:K14)</f>
        <v>-70000000</v>
      </c>
    </row>
    <row r="17" spans="1:11" ht="18">
      <c r="A17" s="95"/>
      <c r="B17" s="96"/>
      <c r="C17" s="96"/>
      <c r="D17" s="56"/>
      <c r="E17" s="56"/>
      <c r="F17" s="56"/>
      <c r="G17" s="95"/>
      <c r="H17" s="95"/>
      <c r="I17" s="35"/>
      <c r="J17" s="95"/>
      <c r="K17" s="97"/>
    </row>
    <row r="18" spans="1:11" s="65" customFormat="1" ht="18">
      <c r="A18" s="65" t="s">
        <v>242</v>
      </c>
      <c r="B18" s="94">
        <f>B16-B14</f>
        <v>279000000</v>
      </c>
      <c r="C18" s="94">
        <f>C16-C14</f>
        <v>209000000</v>
      </c>
      <c r="D18" s="93">
        <v>70000000</v>
      </c>
      <c r="E18" s="92"/>
      <c r="F18" s="92"/>
      <c r="I18" s="94"/>
      <c r="K18" s="94"/>
    </row>
    <row r="19" spans="1:11" s="65" customFormat="1" ht="19" thickBot="1">
      <c r="B19" s="94"/>
      <c r="C19" s="94"/>
      <c r="D19" s="93"/>
      <c r="E19" s="92"/>
      <c r="F19" s="92"/>
      <c r="I19" s="94"/>
      <c r="K19" s="94"/>
    </row>
    <row r="20" spans="1:11" ht="18">
      <c r="A20" s="50" t="s">
        <v>215</v>
      </c>
      <c r="B20" s="89" t="s">
        <v>222</v>
      </c>
      <c r="C20" s="91" t="s">
        <v>227</v>
      </c>
    </row>
    <row r="21" spans="1:11" ht="18">
      <c r="A21" s="47" t="s">
        <v>226</v>
      </c>
      <c r="B21" s="90" t="s">
        <v>223</v>
      </c>
      <c r="C21" s="63" t="s">
        <v>228</v>
      </c>
    </row>
    <row r="22" spans="1:11" ht="18">
      <c r="A22" s="47" t="s">
        <v>210</v>
      </c>
      <c r="B22" s="90" t="s">
        <v>224</v>
      </c>
      <c r="C22" s="63" t="s">
        <v>229</v>
      </c>
    </row>
    <row r="23" spans="1:11" ht="18">
      <c r="A23" s="47" t="s">
        <v>213</v>
      </c>
      <c r="B23" s="90" t="s">
        <v>225</v>
      </c>
      <c r="C23" s="63" t="s">
        <v>230</v>
      </c>
    </row>
    <row r="24" spans="1:11" ht="15" thickBot="1">
      <c r="A24" s="37"/>
      <c r="B24" s="46"/>
      <c r="C24" s="64"/>
    </row>
  </sheetData>
  <mergeCells count="2">
    <mergeCell ref="G3:K3"/>
    <mergeCell ref="A2:E2"/>
  </mergeCells>
  <pageMargins left="0.7" right="0.7" top="0.75" bottom="0.75" header="0.3" footer="0.3"/>
  <pageSetup orientation="landscape" horizontalDpi="300" verticalDpi="300"/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7FBBE45A02FF43B2DB012F633F9BF5" ma:contentTypeVersion="0" ma:contentTypeDescription="Create a new document." ma:contentTypeScope="" ma:versionID="1cd96de4538a9ea783765af400c6966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da0bab1e00c84e9291a2a9b340ddb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B4EAB9-F0A7-4822-A0D0-697ACCB09F4F}"/>
</file>

<file path=customXml/itemProps2.xml><?xml version="1.0" encoding="utf-8"?>
<ds:datastoreItem xmlns:ds="http://schemas.openxmlformats.org/officeDocument/2006/customXml" ds:itemID="{6F9DA719-EC88-4558-AEFC-AFDD1134EA4E}"/>
</file>

<file path=customXml/itemProps3.xml><?xml version="1.0" encoding="utf-8"?>
<ds:datastoreItem xmlns:ds="http://schemas.openxmlformats.org/officeDocument/2006/customXml" ds:itemID="{27C23711-EA56-433F-9790-6F840971EA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Impact of taxation</vt:lpstr>
      <vt:lpstr>Model  incomes statements </vt:lpstr>
      <vt:lpstr>Model cashflows</vt:lpstr>
      <vt:lpstr>10 km actual</vt:lpstr>
      <vt:lpstr>M3 S2 DATA&amp; SOLUTION</vt:lpstr>
      <vt:lpstr>M3 S3 CONTROL BUDGET</vt:lpstr>
      <vt:lpstr>M3 S3 VARIANCES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TRT010</cp:keywords>
  <cp:lastModifiedBy/>
  <dcterms:created xsi:type="dcterms:W3CDTF">2006-09-16T00:00:00Z</dcterms:created>
  <dcterms:modified xsi:type="dcterms:W3CDTF">2013-03-13T06:21:58Z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0x010100DA7FBBE45A02FF43B2DB012F633F9BF5</vt:lpwstr>
  </property>
</Properties>
</file>